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gill\Desktop\.GIANNI\INFORME TRIMESTRAL\2025\Segundo trimestre 30.06.2025\"/>
    </mc:Choice>
  </mc:AlternateContent>
  <xr:revisionPtr revIDLastSave="0" documentId="13_ncr:1_{961855CC-7EC5-4387-B930-35A6D6A75C85}" xr6:coauthVersionLast="47" xr6:coauthVersionMax="47" xr10:uidLastSave="{00000000-0000-0000-0000-000000000000}"/>
  <bookViews>
    <workbookView xWindow="-120" yWindow="-120" windowWidth="29040" windowHeight="15840" tabRatio="603" xr2:uid="{00000000-000D-0000-FFFF-FFFF00000000}"/>
  </bookViews>
  <sheets>
    <sheet name="REGISTRO GENERAL" sheetId="1" r:id="rId1"/>
    <sheet name="REGISTRO GRUPO FAMILIAR" sheetId="3" r:id="rId2"/>
    <sheet name="Hoja1" sheetId="4" state="hidden" r:id="rId3"/>
  </sheets>
  <externalReferences>
    <externalReference r:id="rId4"/>
  </externalReferences>
  <definedNames>
    <definedName name="_xlnm._FilterDatabase" localSheetId="0" hidden="1">'REGISTRO GENERAL'!$E$1:$E$111</definedName>
    <definedName name="_xlnm._FilterDatabase" localSheetId="1" hidden="1">'REGISTRO GRUPO FAMILIAR'!$A$4:$N$198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08" i="1" l="1"/>
  <c r="AB4" i="1" l="1"/>
  <c r="AB61" i="1"/>
  <c r="AB18" i="1"/>
  <c r="L164" i="3"/>
  <c r="L149" i="3"/>
  <c r="L145" i="3"/>
  <c r="L141" i="3"/>
  <c r="L132" i="3"/>
  <c r="L129" i="3"/>
  <c r="L126" i="3"/>
  <c r="L122" i="3"/>
  <c r="L121" i="3"/>
  <c r="L120" i="3"/>
  <c r="L115" i="3"/>
  <c r="L65" i="3"/>
  <c r="L57" i="3"/>
  <c r="L49" i="3"/>
  <c r="L48" i="3"/>
  <c r="L50" i="3" s="1"/>
  <c r="L37" i="3"/>
  <c r="L36" i="3"/>
  <c r="L35" i="3"/>
  <c r="L34" i="3"/>
  <c r="L33" i="3"/>
  <c r="L32" i="3"/>
  <c r="L30" i="3"/>
  <c r="L27" i="3"/>
  <c r="L22" i="3"/>
  <c r="L16" i="3"/>
  <c r="F137" i="3" l="1"/>
  <c r="E137" i="3"/>
  <c r="D137" i="3"/>
  <c r="C137" i="3"/>
  <c r="B137" i="3"/>
  <c r="K46" i="3"/>
  <c r="J195" i="3"/>
  <c r="I195" i="3"/>
  <c r="E195" i="3"/>
  <c r="J176" i="3"/>
  <c r="I176" i="3"/>
  <c r="K27" i="3"/>
  <c r="J27" i="3"/>
  <c r="I27" i="3"/>
  <c r="F27" i="3"/>
  <c r="E27" i="3"/>
  <c r="D27" i="3"/>
  <c r="C27" i="3"/>
  <c r="B27" i="3"/>
  <c r="AB22" i="1"/>
  <c r="AB9" i="1"/>
  <c r="AB24" i="1"/>
  <c r="AB10" i="1"/>
  <c r="AB7" i="1"/>
  <c r="Y144" i="1"/>
  <c r="L61" i="3" l="1"/>
  <c r="L17" i="3"/>
  <c r="L60" i="3"/>
  <c r="L59" i="3"/>
  <c r="AA180" i="1"/>
  <c r="Y179" i="1"/>
  <c r="K179" i="1"/>
  <c r="J179" i="1" s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47" i="1"/>
  <c r="Y146" i="1"/>
  <c r="Y145" i="1"/>
  <c r="K145" i="1"/>
  <c r="J145" i="1" s="1"/>
  <c r="Y143" i="1"/>
  <c r="K143" i="1"/>
  <c r="Y142" i="1"/>
  <c r="K142" i="1"/>
  <c r="J142" i="1" s="1"/>
  <c r="Y141" i="1"/>
  <c r="K141" i="1"/>
  <c r="L141" i="1" s="1"/>
  <c r="Y140" i="1"/>
  <c r="K140" i="1"/>
  <c r="Y139" i="1"/>
  <c r="K139" i="1"/>
  <c r="L139" i="1" s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J139" i="1" l="1"/>
  <c r="L142" i="1"/>
  <c r="K128" i="1"/>
  <c r="J128" i="1" s="1"/>
  <c r="K136" i="1"/>
  <c r="J136" i="1" s="1"/>
  <c r="L140" i="1"/>
  <c r="K112" i="1"/>
  <c r="J112" i="1" s="1"/>
  <c r="K113" i="1"/>
  <c r="J113" i="1" s="1"/>
  <c r="K114" i="1"/>
  <c r="J114" i="1" s="1"/>
  <c r="K115" i="1"/>
  <c r="J115" i="1" s="1"/>
  <c r="K116" i="1"/>
  <c r="J116" i="1" s="1"/>
  <c r="K117" i="1"/>
  <c r="J117" i="1" s="1"/>
  <c r="K118" i="1"/>
  <c r="J118" i="1" s="1"/>
  <c r="K119" i="1"/>
  <c r="J119" i="1" s="1"/>
  <c r="K160" i="1"/>
  <c r="J160" i="1" s="1"/>
  <c r="K161" i="1"/>
  <c r="J161" i="1" s="1"/>
  <c r="K162" i="1"/>
  <c r="J162" i="1" s="1"/>
  <c r="K163" i="1"/>
  <c r="J163" i="1" s="1"/>
  <c r="K164" i="1"/>
  <c r="J164" i="1" s="1"/>
  <c r="K165" i="1"/>
  <c r="J165" i="1" s="1"/>
  <c r="K166" i="1"/>
  <c r="J166" i="1" s="1"/>
  <c r="K167" i="1"/>
  <c r="J167" i="1" s="1"/>
  <c r="K168" i="1"/>
  <c r="J168" i="1" s="1"/>
  <c r="K169" i="1"/>
  <c r="J169" i="1" s="1"/>
  <c r="K170" i="1"/>
  <c r="J170" i="1" s="1"/>
  <c r="K171" i="1"/>
  <c r="J171" i="1" s="1"/>
  <c r="K172" i="1"/>
  <c r="J172" i="1" s="1"/>
  <c r="K173" i="1"/>
  <c r="J173" i="1" s="1"/>
  <c r="K174" i="1"/>
  <c r="J174" i="1" s="1"/>
  <c r="K175" i="1"/>
  <c r="J175" i="1" s="1"/>
  <c r="K176" i="1"/>
  <c r="J176" i="1" s="1"/>
  <c r="K177" i="1"/>
  <c r="J177" i="1" s="1"/>
  <c r="K178" i="1"/>
  <c r="J178" i="1" s="1"/>
  <c r="K159" i="1"/>
  <c r="J159" i="1" s="1"/>
  <c r="K124" i="1" l="1"/>
  <c r="J124" i="1" s="1"/>
  <c r="K133" i="1"/>
  <c r="J133" i="1" s="1"/>
  <c r="I114" i="1"/>
  <c r="K127" i="1"/>
  <c r="J127" i="1" s="1"/>
  <c r="I176" i="1"/>
  <c r="I172" i="1"/>
  <c r="L167" i="1"/>
  <c r="I164" i="1"/>
  <c r="K132" i="1"/>
  <c r="J132" i="1" s="1"/>
  <c r="K134" i="1"/>
  <c r="J134" i="1" s="1"/>
  <c r="I169" i="1" s="1"/>
  <c r="I160" i="1"/>
  <c r="K130" i="1"/>
  <c r="J130" i="1" s="1"/>
  <c r="K120" i="1"/>
  <c r="J120" i="1" s="1"/>
  <c r="K131" i="1"/>
  <c r="J131" i="1" s="1"/>
  <c r="K123" i="1"/>
  <c r="J123" i="1" s="1"/>
  <c r="I118" i="1"/>
  <c r="K138" i="1"/>
  <c r="I170" i="1"/>
  <c r="I166" i="1"/>
  <c r="L165" i="1"/>
  <c r="I162" i="1"/>
  <c r="K122" i="1"/>
  <c r="J122" i="1" s="1"/>
  <c r="K135" i="1"/>
  <c r="J135" i="1" s="1"/>
  <c r="K125" i="1"/>
  <c r="J125" i="1" s="1"/>
  <c r="I168" i="1" s="1"/>
  <c r="I177" i="1"/>
  <c r="I175" i="1"/>
  <c r="I173" i="1"/>
  <c r="I171" i="1"/>
  <c r="L168" i="1"/>
  <c r="I167" i="1"/>
  <c r="L166" i="1"/>
  <c r="I165" i="1"/>
  <c r="L164" i="1"/>
  <c r="I163" i="1"/>
  <c r="I161" i="1"/>
  <c r="K126" i="1"/>
  <c r="J126" i="1" s="1"/>
  <c r="K137" i="1"/>
  <c r="I119" i="1"/>
  <c r="I115" i="1"/>
  <c r="K129" i="1"/>
  <c r="J129" i="1" s="1"/>
  <c r="K121" i="1"/>
  <c r="J121" i="1" s="1"/>
  <c r="I131" i="1" l="1"/>
  <c r="I128" i="1"/>
  <c r="I122" i="1"/>
  <c r="J137" i="1"/>
  <c r="L137" i="1"/>
  <c r="I123" i="1"/>
  <c r="J138" i="1"/>
  <c r="L138" i="1"/>
  <c r="I124" i="1"/>
  <c r="I121" i="1"/>
  <c r="I133" i="1"/>
  <c r="I125" i="1"/>
  <c r="I136" i="1"/>
  <c r="I132" i="1"/>
  <c r="I135" i="1"/>
  <c r="I134" i="1"/>
  <c r="AB32" i="1" l="1"/>
  <c r="AB39" i="1"/>
  <c r="AB111" i="1"/>
  <c r="AB8" i="1"/>
  <c r="AB20" i="1"/>
  <c r="AB91" i="1"/>
  <c r="AB43" i="1"/>
  <c r="AB49" i="1"/>
  <c r="AB107" i="1"/>
  <c r="AB85" i="1"/>
  <c r="AB48" i="1"/>
  <c r="AB50" i="1"/>
  <c r="AB60" i="1"/>
  <c r="L40" i="3" l="1"/>
  <c r="L8" i="3"/>
  <c r="L68" i="3"/>
  <c r="L24" i="3"/>
  <c r="L67" i="3"/>
  <c r="L63" i="3"/>
  <c r="L38" i="3"/>
  <c r="L39" i="3" s="1"/>
  <c r="L131" i="3"/>
  <c r="AB106" i="1"/>
  <c r="AB96" i="1"/>
  <c r="AB109" i="1"/>
  <c r="AB52" i="1"/>
  <c r="AB27" i="1"/>
  <c r="AB25" i="1"/>
  <c r="AB70" i="1"/>
  <c r="L151" i="3" l="1"/>
  <c r="L19" i="3"/>
  <c r="L26" i="3"/>
  <c r="L18" i="3"/>
  <c r="L163" i="3"/>
  <c r="AB94" i="1"/>
  <c r="AB103" i="1"/>
  <c r="AB69" i="1"/>
  <c r="AB66" i="1"/>
  <c r="AB72" i="1"/>
  <c r="AB104" i="1"/>
  <c r="AB51" i="1"/>
  <c r="AB83" i="1"/>
  <c r="AB36" i="1"/>
  <c r="AB63" i="1"/>
  <c r="AB92" i="1"/>
  <c r="AB80" i="1"/>
  <c r="AB23" i="1"/>
  <c r="L28" i="3" l="1"/>
  <c r="L148" i="3"/>
  <c r="L117" i="3"/>
  <c r="L136" i="3"/>
  <c r="L25" i="3"/>
  <c r="L125" i="3"/>
  <c r="AB82" i="1"/>
  <c r="AB79" i="1"/>
  <c r="AB78" i="1"/>
  <c r="AB59" i="1"/>
  <c r="AB31" i="1"/>
  <c r="AB81" i="1"/>
  <c r="L72" i="3" l="1"/>
  <c r="L142" i="3"/>
  <c r="AB54" i="1"/>
  <c r="AB58" i="1"/>
  <c r="L97" i="3" l="1"/>
  <c r="AB57" i="1"/>
  <c r="AB68" i="1"/>
  <c r="AB34" i="1"/>
  <c r="AB110" i="1"/>
  <c r="AB87" i="1"/>
  <c r="AB84" i="1"/>
  <c r="AB62" i="1"/>
  <c r="AB55" i="1"/>
  <c r="AB47" i="1"/>
  <c r="AB40" i="1"/>
  <c r="AB19" i="1"/>
  <c r="AB56" i="1"/>
  <c r="AB38" i="1"/>
  <c r="AB35" i="1"/>
  <c r="AB28" i="1"/>
  <c r="AB26" i="1"/>
  <c r="J190" i="3"/>
  <c r="I190" i="3"/>
  <c r="E190" i="3"/>
  <c r="J189" i="3"/>
  <c r="I189" i="3"/>
  <c r="E189" i="3"/>
  <c r="J188" i="3"/>
  <c r="I188" i="3"/>
  <c r="E188" i="3"/>
  <c r="L9" i="3" l="1"/>
  <c r="L143" i="3"/>
  <c r="L94" i="3"/>
  <c r="L140" i="3"/>
  <c r="L91" i="3"/>
  <c r="L150" i="3"/>
  <c r="L128" i="3"/>
  <c r="L56" i="3"/>
  <c r="L139" i="3"/>
  <c r="L137" i="3"/>
  <c r="AB180" i="1"/>
  <c r="AB3" i="1" s="1"/>
  <c r="I187" i="3"/>
  <c r="J187" i="3"/>
  <c r="E187" i="3"/>
  <c r="I138" i="3"/>
  <c r="J136" i="3"/>
  <c r="K136" i="3" s="1"/>
  <c r="J135" i="3"/>
  <c r="I135" i="3"/>
  <c r="F135" i="3"/>
  <c r="E135" i="3"/>
  <c r="D135" i="3"/>
  <c r="C135" i="3"/>
  <c r="B135" i="3"/>
  <c r="J134" i="3"/>
  <c r="I134" i="3"/>
  <c r="F134" i="3"/>
  <c r="E134" i="3"/>
  <c r="D134" i="3"/>
  <c r="C134" i="3"/>
  <c r="B134" i="3"/>
  <c r="E166" i="3"/>
  <c r="J98" i="3"/>
  <c r="I98" i="3"/>
  <c r="F98" i="3"/>
  <c r="E98" i="3"/>
  <c r="D98" i="3"/>
  <c r="C98" i="3"/>
  <c r="B98" i="3"/>
  <c r="J96" i="3"/>
  <c r="I96" i="3"/>
  <c r="F96" i="3"/>
  <c r="E96" i="3"/>
  <c r="D96" i="3"/>
  <c r="C96" i="3"/>
  <c r="B96" i="3"/>
  <c r="J93" i="3"/>
  <c r="I93" i="3"/>
  <c r="F93" i="3"/>
  <c r="E93" i="3"/>
  <c r="D93" i="3"/>
  <c r="C93" i="3"/>
  <c r="B93" i="3"/>
  <c r="J102" i="3"/>
  <c r="J103" i="3"/>
  <c r="J105" i="3"/>
  <c r="J106" i="3"/>
  <c r="J108" i="3"/>
  <c r="J109" i="3"/>
  <c r="J92" i="3"/>
  <c r="J95" i="3"/>
  <c r="J99" i="3"/>
  <c r="J73" i="3"/>
  <c r="J74" i="3"/>
  <c r="J76" i="3"/>
  <c r="J77" i="3"/>
  <c r="J79" i="3"/>
  <c r="J80" i="3"/>
  <c r="J82" i="3"/>
  <c r="J83" i="3"/>
  <c r="J85" i="3"/>
  <c r="J86" i="3"/>
  <c r="J88" i="3"/>
  <c r="J89" i="3"/>
  <c r="J64" i="3"/>
  <c r="J66" i="3"/>
  <c r="J69" i="3"/>
  <c r="J20" i="3"/>
  <c r="J21" i="3"/>
  <c r="I20" i="3"/>
  <c r="I21" i="3"/>
  <c r="I102" i="3"/>
  <c r="I103" i="3"/>
  <c r="I105" i="3"/>
  <c r="I106" i="3"/>
  <c r="I108" i="3"/>
  <c r="I109" i="3"/>
  <c r="I73" i="3"/>
  <c r="I74" i="3"/>
  <c r="I76" i="3"/>
  <c r="I77" i="3"/>
  <c r="I79" i="3"/>
  <c r="I80" i="3"/>
  <c r="I82" i="3"/>
  <c r="I83" i="3"/>
  <c r="I85" i="3"/>
  <c r="I86" i="3"/>
  <c r="I88" i="3"/>
  <c r="I89" i="3"/>
  <c r="I64" i="3"/>
  <c r="I66" i="3"/>
  <c r="I69" i="3"/>
  <c r="J194" i="3"/>
  <c r="I194" i="3"/>
  <c r="E194" i="3"/>
  <c r="J193" i="3"/>
  <c r="I193" i="3"/>
  <c r="E193" i="3"/>
  <c r="J192" i="3"/>
  <c r="I192" i="3"/>
  <c r="E192" i="3"/>
  <c r="J191" i="3"/>
  <c r="I191" i="3"/>
  <c r="E191" i="3"/>
  <c r="J186" i="3"/>
  <c r="I186" i="3"/>
  <c r="E186" i="3"/>
  <c r="I165" i="3"/>
  <c r="E165" i="3"/>
  <c r="J165" i="3"/>
  <c r="J161" i="3"/>
  <c r="I161" i="3"/>
  <c r="F161" i="3"/>
  <c r="E161" i="3"/>
  <c r="D161" i="3"/>
  <c r="C161" i="3"/>
  <c r="B161" i="3"/>
  <c r="I166" i="3"/>
  <c r="J144" i="3"/>
  <c r="I144" i="3"/>
  <c r="F144" i="3"/>
  <c r="E144" i="3"/>
  <c r="D144" i="3"/>
  <c r="C144" i="3"/>
  <c r="B144" i="3"/>
  <c r="I136" i="3"/>
  <c r="I152" i="3"/>
  <c r="I153" i="3"/>
  <c r="I167" i="3"/>
  <c r="I168" i="3"/>
  <c r="I169" i="3"/>
  <c r="I170" i="3"/>
  <c r="I171" i="3"/>
  <c r="I172" i="3"/>
  <c r="I173" i="3"/>
  <c r="I174" i="3"/>
  <c r="I175" i="3"/>
  <c r="I177" i="3"/>
  <c r="I178" i="3"/>
  <c r="I179" i="3"/>
  <c r="I180" i="3"/>
  <c r="I181" i="3"/>
  <c r="I182" i="3"/>
  <c r="I183" i="3"/>
  <c r="I184" i="3"/>
  <c r="I185" i="3"/>
  <c r="I196" i="3"/>
  <c r="J153" i="3"/>
  <c r="F153" i="3"/>
  <c r="E153" i="3"/>
  <c r="C153" i="3"/>
  <c r="B153" i="3"/>
  <c r="J152" i="3"/>
  <c r="F152" i="3"/>
  <c r="E152" i="3"/>
  <c r="C152" i="3"/>
  <c r="B152" i="3"/>
  <c r="J138" i="3"/>
  <c r="F138" i="3"/>
  <c r="E138" i="3"/>
  <c r="D138" i="3"/>
  <c r="C138" i="3"/>
  <c r="B138" i="3"/>
  <c r="F132" i="3"/>
  <c r="E132" i="3"/>
  <c r="D132" i="3"/>
  <c r="C132" i="3"/>
  <c r="B132" i="3"/>
  <c r="B131" i="3"/>
  <c r="C131" i="3"/>
  <c r="D131" i="3"/>
  <c r="E131" i="3"/>
  <c r="F131" i="3"/>
  <c r="E129" i="3"/>
  <c r="J166" i="3"/>
  <c r="J167" i="3"/>
  <c r="J168" i="3"/>
  <c r="J169" i="3"/>
  <c r="J170" i="3"/>
  <c r="J171" i="3"/>
  <c r="J172" i="3"/>
  <c r="J173" i="3"/>
  <c r="J174" i="3"/>
  <c r="J175" i="3"/>
  <c r="J177" i="3"/>
  <c r="J178" i="3"/>
  <c r="J179" i="3"/>
  <c r="J180" i="3"/>
  <c r="J181" i="3"/>
  <c r="J182" i="3"/>
  <c r="J183" i="3"/>
  <c r="J184" i="3"/>
  <c r="J185" i="3"/>
  <c r="J196" i="3"/>
  <c r="E133" i="3"/>
  <c r="F136" i="3"/>
  <c r="E136" i="3"/>
  <c r="D136" i="3"/>
  <c r="C136" i="3"/>
  <c r="B136" i="3"/>
  <c r="F69" i="3"/>
  <c r="E69" i="3"/>
  <c r="C69" i="3"/>
  <c r="B69" i="3"/>
  <c r="F66" i="3"/>
  <c r="E66" i="3"/>
  <c r="C66" i="3"/>
  <c r="B66" i="3"/>
  <c r="F64" i="3"/>
  <c r="E64" i="3"/>
  <c r="C64" i="3"/>
  <c r="B64" i="3"/>
  <c r="F88" i="3"/>
  <c r="E88" i="3"/>
  <c r="D88" i="3"/>
  <c r="C88" i="3"/>
  <c r="B88" i="3"/>
  <c r="F86" i="3"/>
  <c r="E86" i="3"/>
  <c r="D86" i="3"/>
  <c r="C86" i="3"/>
  <c r="B86" i="3"/>
  <c r="F85" i="3"/>
  <c r="E85" i="3"/>
  <c r="D85" i="3"/>
  <c r="C85" i="3"/>
  <c r="B85" i="3"/>
  <c r="F83" i="3"/>
  <c r="E83" i="3"/>
  <c r="D83" i="3"/>
  <c r="C83" i="3"/>
  <c r="B83" i="3"/>
  <c r="F82" i="3"/>
  <c r="E82" i="3"/>
  <c r="D82" i="3"/>
  <c r="C82" i="3"/>
  <c r="B82" i="3"/>
  <c r="F80" i="3"/>
  <c r="E80" i="3"/>
  <c r="D80" i="3"/>
  <c r="C80" i="3"/>
  <c r="B80" i="3"/>
  <c r="F79" i="3"/>
  <c r="E79" i="3"/>
  <c r="D79" i="3"/>
  <c r="C79" i="3"/>
  <c r="B79" i="3"/>
  <c r="F77" i="3"/>
  <c r="E77" i="3"/>
  <c r="D77" i="3"/>
  <c r="C77" i="3"/>
  <c r="B77" i="3"/>
  <c r="F76" i="3"/>
  <c r="E76" i="3"/>
  <c r="D76" i="3"/>
  <c r="C76" i="3"/>
  <c r="B76" i="3"/>
  <c r="F87" i="3"/>
  <c r="E87" i="3"/>
  <c r="D87" i="3"/>
  <c r="C87" i="3"/>
  <c r="B87" i="3"/>
  <c r="F74" i="3"/>
  <c r="E74" i="3"/>
  <c r="D74" i="3"/>
  <c r="C74" i="3"/>
  <c r="B74" i="3"/>
  <c r="K72" i="3"/>
  <c r="F73" i="3"/>
  <c r="E73" i="3"/>
  <c r="D73" i="3"/>
  <c r="C73" i="3"/>
  <c r="B73" i="3"/>
  <c r="I92" i="3"/>
  <c r="I95" i="3"/>
  <c r="I99" i="3"/>
  <c r="F99" i="3"/>
  <c r="E99" i="3"/>
  <c r="D99" i="3"/>
  <c r="C99" i="3"/>
  <c r="B99" i="3"/>
  <c r="F95" i="3"/>
  <c r="E95" i="3"/>
  <c r="D95" i="3"/>
  <c r="C95" i="3"/>
  <c r="B95" i="3"/>
  <c r="F92" i="3"/>
  <c r="E92" i="3"/>
  <c r="D92" i="3"/>
  <c r="C92" i="3"/>
  <c r="B92" i="3"/>
  <c r="F97" i="3"/>
  <c r="E97" i="3"/>
  <c r="D97" i="3"/>
  <c r="C97" i="3"/>
  <c r="B97" i="3"/>
  <c r="F109" i="3"/>
  <c r="E109" i="3"/>
  <c r="D109" i="3"/>
  <c r="C109" i="3"/>
  <c r="B109" i="3"/>
  <c r="F108" i="3"/>
  <c r="E108" i="3"/>
  <c r="D108" i="3"/>
  <c r="C108" i="3"/>
  <c r="B108" i="3"/>
  <c r="F106" i="3"/>
  <c r="E106" i="3"/>
  <c r="D106" i="3"/>
  <c r="C106" i="3"/>
  <c r="B106" i="3"/>
  <c r="F103" i="3"/>
  <c r="E103" i="3"/>
  <c r="D103" i="3"/>
  <c r="C103" i="3"/>
  <c r="B103" i="3"/>
  <c r="F105" i="3"/>
  <c r="E105" i="3"/>
  <c r="D105" i="3"/>
  <c r="C105" i="3"/>
  <c r="B105" i="3"/>
  <c r="F102" i="3"/>
  <c r="E102" i="3"/>
  <c r="D102" i="3"/>
  <c r="C102" i="3"/>
  <c r="B102" i="3"/>
  <c r="E168" i="3"/>
  <c r="E167" i="3"/>
  <c r="F21" i="3"/>
  <c r="E21" i="3"/>
  <c r="D21" i="3"/>
  <c r="C21" i="3"/>
  <c r="B21" i="3"/>
  <c r="F20" i="3"/>
  <c r="E20" i="3"/>
  <c r="D20" i="3"/>
  <c r="C20" i="3"/>
  <c r="B20" i="3"/>
  <c r="E179" i="3"/>
  <c r="E180" i="3"/>
  <c r="E181" i="3"/>
  <c r="E182" i="3"/>
  <c r="E183" i="3"/>
  <c r="E184" i="3"/>
  <c r="E185" i="3"/>
  <c r="E196" i="3"/>
  <c r="J137" i="3" l="1"/>
  <c r="K137" i="3" s="1"/>
  <c r="I137" i="3"/>
  <c r="X144" i="1"/>
  <c r="X113" i="1"/>
  <c r="X117" i="1"/>
  <c r="X121" i="1"/>
  <c r="X125" i="1"/>
  <c r="X129" i="1"/>
  <c r="X133" i="1"/>
  <c r="X137" i="1"/>
  <c r="X141" i="1"/>
  <c r="X146" i="1"/>
  <c r="X150" i="1"/>
  <c r="X154" i="1"/>
  <c r="X158" i="1"/>
  <c r="X162" i="1"/>
  <c r="X166" i="1"/>
  <c r="X170" i="1"/>
  <c r="X174" i="1"/>
  <c r="X178" i="1"/>
  <c r="X114" i="1"/>
  <c r="X118" i="1"/>
  <c r="X122" i="1"/>
  <c r="X126" i="1"/>
  <c r="X130" i="1"/>
  <c r="X134" i="1"/>
  <c r="X138" i="1"/>
  <c r="X142" i="1"/>
  <c r="X147" i="1"/>
  <c r="X151" i="1"/>
  <c r="X155" i="1"/>
  <c r="X159" i="1"/>
  <c r="X163" i="1"/>
  <c r="X167" i="1"/>
  <c r="X171" i="1"/>
  <c r="X175" i="1"/>
  <c r="X179" i="1"/>
  <c r="X115" i="1"/>
  <c r="X119" i="1"/>
  <c r="X123" i="1"/>
  <c r="X127" i="1"/>
  <c r="X131" i="1"/>
  <c r="X135" i="1"/>
  <c r="X139" i="1"/>
  <c r="X143" i="1"/>
  <c r="X148" i="1"/>
  <c r="X152" i="1"/>
  <c r="X156" i="1"/>
  <c r="X160" i="1"/>
  <c r="X164" i="1"/>
  <c r="X168" i="1"/>
  <c r="X172" i="1"/>
  <c r="X176" i="1"/>
  <c r="X112" i="1"/>
  <c r="X116" i="1"/>
  <c r="X120" i="1"/>
  <c r="X124" i="1"/>
  <c r="X128" i="1"/>
  <c r="X132" i="1"/>
  <c r="X136" i="1"/>
  <c r="X140" i="1"/>
  <c r="X145" i="1"/>
  <c r="X149" i="1"/>
  <c r="X153" i="1"/>
  <c r="X157" i="1"/>
  <c r="X161" i="1"/>
  <c r="X165" i="1"/>
  <c r="X169" i="1"/>
  <c r="X173" i="1"/>
  <c r="X177" i="1"/>
  <c r="E139" i="3"/>
  <c r="E140" i="3"/>
  <c r="E141" i="3"/>
  <c r="E142" i="3"/>
  <c r="E143" i="3"/>
  <c r="E145" i="3"/>
  <c r="E146" i="3"/>
  <c r="E147" i="3"/>
  <c r="E148" i="3"/>
  <c r="E149" i="3"/>
  <c r="E150" i="3"/>
  <c r="E151" i="3"/>
  <c r="E154" i="3"/>
  <c r="E155" i="3"/>
  <c r="E156" i="3"/>
  <c r="E157" i="3"/>
  <c r="E158" i="3"/>
  <c r="E159" i="3"/>
  <c r="E160" i="3"/>
  <c r="E162" i="3"/>
  <c r="E163" i="3"/>
  <c r="E164" i="3"/>
  <c r="D164" i="3"/>
  <c r="C164" i="3"/>
  <c r="B164" i="3"/>
  <c r="D163" i="3"/>
  <c r="C163" i="3"/>
  <c r="B163" i="3"/>
  <c r="D162" i="3"/>
  <c r="C162" i="3"/>
  <c r="B162" i="3"/>
  <c r="D160" i="3"/>
  <c r="C160" i="3"/>
  <c r="B160" i="3"/>
  <c r="D159" i="3"/>
  <c r="C159" i="3"/>
  <c r="B159" i="3"/>
  <c r="D158" i="3"/>
  <c r="C158" i="3"/>
  <c r="B158" i="3"/>
  <c r="D157" i="3"/>
  <c r="C157" i="3"/>
  <c r="B157" i="3"/>
  <c r="D156" i="3"/>
  <c r="C156" i="3"/>
  <c r="B156" i="3"/>
  <c r="D155" i="3"/>
  <c r="C155" i="3"/>
  <c r="B155" i="3"/>
  <c r="D154" i="3"/>
  <c r="C154" i="3"/>
  <c r="B154" i="3"/>
  <c r="C151" i="3"/>
  <c r="B151" i="3"/>
  <c r="D150" i="3"/>
  <c r="C150" i="3"/>
  <c r="B150" i="3"/>
  <c r="D149" i="3"/>
  <c r="C149" i="3"/>
  <c r="B149" i="3"/>
  <c r="D148" i="3"/>
  <c r="C148" i="3"/>
  <c r="B148" i="3"/>
  <c r="D147" i="3"/>
  <c r="C147" i="3"/>
  <c r="B147" i="3"/>
  <c r="D146" i="3"/>
  <c r="C146" i="3"/>
  <c r="B146" i="3"/>
  <c r="D145" i="3"/>
  <c r="C145" i="3"/>
  <c r="B145" i="3"/>
  <c r="D143" i="3"/>
  <c r="C143" i="3"/>
  <c r="B143" i="3"/>
  <c r="D142" i="3"/>
  <c r="C142" i="3"/>
  <c r="B142" i="3"/>
  <c r="D141" i="3"/>
  <c r="C141" i="3"/>
  <c r="B141" i="3"/>
  <c r="D140" i="3"/>
  <c r="C140" i="3"/>
  <c r="B140" i="3"/>
  <c r="D139" i="3"/>
  <c r="C139" i="3"/>
  <c r="B139" i="3"/>
  <c r="D133" i="3"/>
  <c r="C133" i="3"/>
  <c r="B133" i="3"/>
  <c r="F29" i="3" l="1"/>
  <c r="E29" i="3"/>
  <c r="D29" i="3"/>
  <c r="C29" i="3"/>
  <c r="B29" i="3"/>
  <c r="D16" i="3" l="1"/>
  <c r="B14" i="3"/>
  <c r="C14" i="3"/>
  <c r="E14" i="3"/>
  <c r="F14" i="3"/>
  <c r="F163" i="3" l="1"/>
  <c r="F140" i="3"/>
  <c r="F59" i="3"/>
  <c r="E59" i="3"/>
  <c r="D59" i="3"/>
  <c r="C59" i="3"/>
  <c r="B59" i="3"/>
  <c r="F57" i="3"/>
  <c r="E57" i="3"/>
  <c r="D57" i="3"/>
  <c r="C57" i="3"/>
  <c r="B57" i="3"/>
  <c r="F56" i="3"/>
  <c r="E56" i="3"/>
  <c r="D56" i="3"/>
  <c r="C56" i="3"/>
  <c r="B56" i="3"/>
  <c r="F146" i="3" l="1"/>
  <c r="F117" i="3"/>
  <c r="F115" i="3"/>
  <c r="F25" i="3"/>
  <c r="E126" i="3" l="1"/>
  <c r="D128" i="3"/>
  <c r="F150" i="3" l="1"/>
  <c r="F107" i="3" l="1"/>
  <c r="F133" i="3"/>
  <c r="F139" i="3"/>
  <c r="F141" i="3"/>
  <c r="F142" i="3"/>
  <c r="F143" i="3"/>
  <c r="F145" i="3"/>
  <c r="F147" i="3"/>
  <c r="F148" i="3"/>
  <c r="F149" i="3"/>
  <c r="F151" i="3"/>
  <c r="F154" i="3"/>
  <c r="F155" i="3"/>
  <c r="F156" i="3"/>
  <c r="F157" i="3"/>
  <c r="F158" i="3"/>
  <c r="F159" i="3"/>
  <c r="F160" i="3"/>
  <c r="F162" i="3"/>
  <c r="F164" i="3"/>
  <c r="F129" i="3"/>
  <c r="F128" i="3"/>
  <c r="F125" i="3"/>
  <c r="F126" i="3"/>
  <c r="F124" i="3"/>
  <c r="F120" i="3"/>
  <c r="F121" i="3"/>
  <c r="F122" i="3"/>
  <c r="F119" i="3"/>
  <c r="F116" i="3"/>
  <c r="F104" i="3"/>
  <c r="F110" i="3"/>
  <c r="F111" i="3"/>
  <c r="F112" i="3"/>
  <c r="F113" i="3"/>
  <c r="F101" i="3"/>
  <c r="F94" i="3"/>
  <c r="F91" i="3"/>
  <c r="F75" i="3"/>
  <c r="F78" i="3"/>
  <c r="F81" i="3"/>
  <c r="F84" i="3"/>
  <c r="F89" i="3"/>
  <c r="F72" i="3"/>
  <c r="F65" i="3"/>
  <c r="F67" i="3"/>
  <c r="F68" i="3"/>
  <c r="F70" i="3"/>
  <c r="F63" i="3"/>
  <c r="F60" i="3"/>
  <c r="F61" i="3"/>
  <c r="F52" i="3"/>
  <c r="F53" i="3"/>
  <c r="F54" i="3"/>
  <c r="F51" i="3"/>
  <c r="F49" i="3"/>
  <c r="F48" i="3"/>
  <c r="F41" i="3"/>
  <c r="F42" i="3"/>
  <c r="F43" i="3"/>
  <c r="F44" i="3"/>
  <c r="F45" i="3"/>
  <c r="F46" i="3"/>
  <c r="F40" i="3"/>
  <c r="F33" i="3"/>
  <c r="F34" i="3"/>
  <c r="F35" i="3"/>
  <c r="F36" i="3"/>
  <c r="F37" i="3"/>
  <c r="F38" i="3"/>
  <c r="F32" i="3"/>
  <c r="F13" i="3"/>
  <c r="F15" i="3"/>
  <c r="F16" i="3"/>
  <c r="F17" i="3"/>
  <c r="F18" i="3"/>
  <c r="F19" i="3"/>
  <c r="F22" i="3"/>
  <c r="F23" i="3"/>
  <c r="F24" i="3"/>
  <c r="F26" i="3"/>
  <c r="F28" i="3"/>
  <c r="F30" i="3"/>
  <c r="F12" i="3"/>
  <c r="F6" i="3"/>
  <c r="F7" i="3"/>
  <c r="F8" i="3"/>
  <c r="F9" i="3"/>
  <c r="F10" i="3"/>
  <c r="F5" i="3"/>
  <c r="E18" i="3" l="1"/>
  <c r="D18" i="3"/>
  <c r="C18" i="3"/>
  <c r="B18" i="3"/>
  <c r="D17" i="3" l="1"/>
  <c r="E48" i="3" l="1"/>
  <c r="D48" i="3"/>
  <c r="C48" i="3"/>
  <c r="B48" i="3"/>
  <c r="E111" i="3" l="1"/>
  <c r="E112" i="3"/>
  <c r="B23" i="3"/>
  <c r="C23" i="3"/>
  <c r="D23" i="3"/>
  <c r="E23" i="3"/>
  <c r="B22" i="3"/>
  <c r="B24" i="3"/>
  <c r="D51" i="3" l="1"/>
  <c r="D52" i="3"/>
  <c r="B53" i="3"/>
  <c r="C53" i="3"/>
  <c r="D53" i="3"/>
  <c r="E53" i="3"/>
  <c r="B54" i="3"/>
  <c r="C54" i="3"/>
  <c r="D54" i="3"/>
  <c r="E54" i="3"/>
  <c r="B128" i="3" l="1"/>
  <c r="C128" i="3"/>
  <c r="E128" i="3"/>
  <c r="D89" i="3" l="1"/>
  <c r="D94" i="3"/>
  <c r="B94" i="3"/>
  <c r="C94" i="3"/>
  <c r="E94" i="3"/>
  <c r="B91" i="3"/>
  <c r="C91" i="3"/>
  <c r="D91" i="3"/>
  <c r="E91" i="3"/>
  <c r="E84" i="3"/>
  <c r="D84" i="3"/>
  <c r="C84" i="3"/>
  <c r="B84" i="3"/>
  <c r="D126" i="3" l="1"/>
  <c r="C126" i="3"/>
  <c r="B126" i="3"/>
  <c r="E125" i="3"/>
  <c r="D125" i="3"/>
  <c r="C125" i="3"/>
  <c r="B125" i="3"/>
  <c r="E124" i="3"/>
  <c r="D124" i="3"/>
  <c r="C124" i="3"/>
  <c r="B124" i="3"/>
  <c r="E19" i="3" l="1"/>
  <c r="D19" i="3"/>
  <c r="C19" i="3"/>
  <c r="B19" i="3"/>
  <c r="E115" i="3"/>
  <c r="D115" i="3"/>
  <c r="C115" i="3"/>
  <c r="B115" i="3"/>
  <c r="E122" i="3"/>
  <c r="D122" i="3"/>
  <c r="C122" i="3"/>
  <c r="B122" i="3"/>
  <c r="E121" i="3"/>
  <c r="D121" i="3"/>
  <c r="C121" i="3"/>
  <c r="B121" i="3"/>
  <c r="E120" i="3"/>
  <c r="D120" i="3"/>
  <c r="C120" i="3"/>
  <c r="B120" i="3"/>
  <c r="E119" i="3"/>
  <c r="D119" i="3"/>
  <c r="C119" i="3"/>
  <c r="B119" i="3"/>
  <c r="E117" i="3"/>
  <c r="D117" i="3"/>
  <c r="C117" i="3"/>
  <c r="B117" i="3"/>
  <c r="E116" i="3"/>
  <c r="D116" i="3"/>
  <c r="C116" i="3"/>
  <c r="B116" i="3"/>
  <c r="E113" i="3"/>
  <c r="D113" i="3"/>
  <c r="C113" i="3"/>
  <c r="B113" i="3"/>
  <c r="D112" i="3"/>
  <c r="C112" i="3"/>
  <c r="B112" i="3"/>
  <c r="D111" i="3"/>
  <c r="C111" i="3"/>
  <c r="B111" i="3"/>
  <c r="E110" i="3"/>
  <c r="D110" i="3"/>
  <c r="C110" i="3"/>
  <c r="B110" i="3"/>
  <c r="E107" i="3"/>
  <c r="D107" i="3"/>
  <c r="C107" i="3"/>
  <c r="B107" i="3"/>
  <c r="E104" i="3"/>
  <c r="D104" i="3"/>
  <c r="C104" i="3"/>
  <c r="B104" i="3"/>
  <c r="E101" i="3"/>
  <c r="D101" i="3"/>
  <c r="C101" i="3"/>
  <c r="B101" i="3"/>
  <c r="E89" i="3"/>
  <c r="C89" i="3"/>
  <c r="B89" i="3"/>
  <c r="E81" i="3"/>
  <c r="D81" i="3"/>
  <c r="C81" i="3"/>
  <c r="B81" i="3"/>
  <c r="E78" i="3"/>
  <c r="D78" i="3"/>
  <c r="C78" i="3"/>
  <c r="B78" i="3"/>
  <c r="E75" i="3"/>
  <c r="D75" i="3"/>
  <c r="C75" i="3"/>
  <c r="B75" i="3"/>
  <c r="E72" i="3"/>
  <c r="D72" i="3"/>
  <c r="C72" i="3"/>
  <c r="B72" i="3"/>
  <c r="E70" i="3"/>
  <c r="D70" i="3"/>
  <c r="C70" i="3"/>
  <c r="B70" i="3"/>
  <c r="E68" i="3"/>
  <c r="D68" i="3"/>
  <c r="C68" i="3"/>
  <c r="B68" i="3"/>
  <c r="E67" i="3"/>
  <c r="C67" i="3"/>
  <c r="B67" i="3"/>
  <c r="E65" i="3"/>
  <c r="C65" i="3"/>
  <c r="B65" i="3"/>
  <c r="E63" i="3"/>
  <c r="C63" i="3"/>
  <c r="B63" i="3"/>
  <c r="E61" i="3"/>
  <c r="D61" i="3"/>
  <c r="C61" i="3"/>
  <c r="B61" i="3"/>
  <c r="E60" i="3"/>
  <c r="D60" i="3"/>
  <c r="C60" i="3"/>
  <c r="B60" i="3"/>
  <c r="E52" i="3"/>
  <c r="C52" i="3"/>
  <c r="B52" i="3"/>
  <c r="E51" i="3"/>
  <c r="C51" i="3"/>
  <c r="B51" i="3"/>
  <c r="E49" i="3"/>
  <c r="D49" i="3"/>
  <c r="C49" i="3"/>
  <c r="B49" i="3"/>
  <c r="E46" i="3"/>
  <c r="D46" i="3"/>
  <c r="C46" i="3"/>
  <c r="B46" i="3"/>
  <c r="E45" i="3"/>
  <c r="D45" i="3"/>
  <c r="C45" i="3"/>
  <c r="B45" i="3"/>
  <c r="E44" i="3"/>
  <c r="D44" i="3"/>
  <c r="C44" i="3"/>
  <c r="B44" i="3"/>
  <c r="E43" i="3"/>
  <c r="D43" i="3"/>
  <c r="C43" i="3"/>
  <c r="B43" i="3"/>
  <c r="E42" i="3"/>
  <c r="D42" i="3"/>
  <c r="C42" i="3"/>
  <c r="B42" i="3"/>
  <c r="E41" i="3"/>
  <c r="D41" i="3"/>
  <c r="C41" i="3"/>
  <c r="B41" i="3"/>
  <c r="E40" i="3"/>
  <c r="D40" i="3"/>
  <c r="C40" i="3"/>
  <c r="B40" i="3"/>
  <c r="E38" i="3"/>
  <c r="D38" i="3"/>
  <c r="C38" i="3"/>
  <c r="B38" i="3"/>
  <c r="E37" i="3"/>
  <c r="D37" i="3"/>
  <c r="C37" i="3"/>
  <c r="B37" i="3"/>
  <c r="E36" i="3"/>
  <c r="D36" i="3"/>
  <c r="C36" i="3"/>
  <c r="B36" i="3"/>
  <c r="E35" i="3"/>
  <c r="D35" i="3"/>
  <c r="C35" i="3"/>
  <c r="B35" i="3"/>
  <c r="E34" i="3"/>
  <c r="D34" i="3"/>
  <c r="C34" i="3"/>
  <c r="B34" i="3"/>
  <c r="E33" i="3"/>
  <c r="D33" i="3"/>
  <c r="C33" i="3"/>
  <c r="B33" i="3"/>
  <c r="E32" i="3"/>
  <c r="D32" i="3"/>
  <c r="C32" i="3"/>
  <c r="B32" i="3"/>
  <c r="E30" i="3"/>
  <c r="D30" i="3"/>
  <c r="C30" i="3"/>
  <c r="B30" i="3"/>
  <c r="E28" i="3"/>
  <c r="D28" i="3"/>
  <c r="C28" i="3"/>
  <c r="B28" i="3"/>
  <c r="E26" i="3"/>
  <c r="D26" i="3"/>
  <c r="C26" i="3"/>
  <c r="B26" i="3"/>
  <c r="E25" i="3"/>
  <c r="D25" i="3"/>
  <c r="C25" i="3"/>
  <c r="B25" i="3"/>
  <c r="E24" i="3"/>
  <c r="D24" i="3"/>
  <c r="C24" i="3"/>
  <c r="E22" i="3"/>
  <c r="D22" i="3"/>
  <c r="C22" i="3"/>
  <c r="D129" i="3"/>
  <c r="C129" i="3"/>
  <c r="B129" i="3"/>
  <c r="E17" i="3"/>
  <c r="C17" i="3"/>
  <c r="B17" i="3"/>
  <c r="E16" i="3"/>
  <c r="C16" i="3"/>
  <c r="B16" i="3"/>
  <c r="E15" i="3"/>
  <c r="D15" i="3"/>
  <c r="C15" i="3"/>
  <c r="B15" i="3"/>
  <c r="E13" i="3"/>
  <c r="C13" i="3"/>
  <c r="B13" i="3"/>
  <c r="E12" i="3"/>
  <c r="C12" i="3"/>
  <c r="B12" i="3"/>
  <c r="E10" i="3"/>
  <c r="D10" i="3"/>
  <c r="C10" i="3"/>
  <c r="B10" i="3"/>
  <c r="E9" i="3"/>
  <c r="D9" i="3"/>
  <c r="C9" i="3"/>
  <c r="B9" i="3"/>
  <c r="E8" i="3"/>
  <c r="D8" i="3"/>
  <c r="C8" i="3"/>
  <c r="B8" i="3"/>
  <c r="E7" i="3"/>
  <c r="D7" i="3"/>
  <c r="C7" i="3"/>
  <c r="B7" i="3"/>
  <c r="E6" i="3"/>
  <c r="D6" i="3"/>
  <c r="C6" i="3"/>
  <c r="B6" i="3"/>
  <c r="C5" i="3"/>
  <c r="B5" i="3"/>
  <c r="D5" i="3"/>
  <c r="E5" i="3"/>
  <c r="Q9" i="4" l="1"/>
  <c r="Q8" i="4"/>
  <c r="Q7" i="4"/>
  <c r="Q6" i="4"/>
  <c r="Y42" i="1" l="1"/>
  <c r="Z42" i="1" s="1"/>
  <c r="Y34" i="1"/>
  <c r="Z34" i="1" s="1"/>
  <c r="Y75" i="1"/>
  <c r="Z75" i="1" s="1"/>
  <c r="Y62" i="1"/>
  <c r="Z62" i="1" s="1"/>
  <c r="Y67" i="1"/>
  <c r="Z67" i="1" s="1"/>
  <c r="Y7" i="1"/>
  <c r="Z7" i="1" s="1"/>
  <c r="Y78" i="1"/>
  <c r="Z78" i="1" s="1"/>
  <c r="Y88" i="1"/>
  <c r="Z88" i="1" s="1"/>
  <c r="Y69" i="1"/>
  <c r="Y43" i="1"/>
  <c r="Z43" i="1" s="1"/>
  <c r="Y26" i="1"/>
  <c r="Z26" i="1" s="1"/>
  <c r="Y11" i="1"/>
  <c r="Y77" i="1"/>
  <c r="Z77" i="1" s="1"/>
  <c r="Y74" i="1"/>
  <c r="Z74" i="1" s="1"/>
  <c r="Y76" i="1"/>
  <c r="Z76" i="1" s="1"/>
  <c r="Y103" i="1"/>
  <c r="Z103" i="1" s="1"/>
  <c r="Y53" i="1"/>
  <c r="Z53" i="1" s="1"/>
  <c r="Y109" i="1"/>
  <c r="Z109" i="1" s="1"/>
  <c r="Y102" i="1"/>
  <c r="Y49" i="1"/>
  <c r="Z49" i="1" s="1"/>
  <c r="Y61" i="1"/>
  <c r="Z61" i="1" s="1"/>
  <c r="Y46" i="1"/>
  <c r="Y25" i="1"/>
  <c r="Z25" i="1" s="1"/>
  <c r="Y16" i="1"/>
  <c r="Z16" i="1" s="1"/>
  <c r="Y12" i="1"/>
  <c r="Z12" i="1" s="1"/>
  <c r="Y111" i="1"/>
  <c r="Y50" i="1"/>
  <c r="Z50" i="1" s="1"/>
  <c r="Y101" i="1"/>
  <c r="Z101" i="1" s="1"/>
  <c r="Y21" i="1"/>
  <c r="Z21" i="1" s="1"/>
  <c r="Y15" i="1"/>
  <c r="Z15" i="1" s="1"/>
  <c r="Y9" i="1"/>
  <c r="Z9" i="1" s="1"/>
  <c r="Y72" i="1"/>
  <c r="Z72" i="1" s="1"/>
  <c r="Y13" i="1"/>
  <c r="Z13" i="1" s="1"/>
  <c r="Y107" i="1"/>
  <c r="Z107" i="1" s="1"/>
  <c r="Y52" i="1"/>
  <c r="Z52" i="1" s="1"/>
  <c r="K25" i="3" s="1"/>
  <c r="Y105" i="1"/>
  <c r="Y108" i="1"/>
  <c r="Z108" i="1" s="1"/>
  <c r="Y51" i="1"/>
  <c r="Z51" i="1" s="1"/>
  <c r="Y48" i="1"/>
  <c r="Z48" i="1" s="1"/>
  <c r="Y44" i="1"/>
  <c r="Z44" i="1" s="1"/>
  <c r="Y10" i="1"/>
  <c r="Z10" i="1" s="1"/>
  <c r="Y14" i="1"/>
  <c r="Z14" i="1" s="1"/>
  <c r="K35" i="3" s="1"/>
  <c r="Y6" i="1"/>
  <c r="Z6" i="1" s="1"/>
  <c r="Y28" i="1"/>
  <c r="Z28" i="1" s="1"/>
  <c r="Y110" i="1"/>
  <c r="Z110" i="1" s="1"/>
  <c r="Y5" i="1"/>
  <c r="Z5" i="1" s="1"/>
  <c r="Y24" i="1"/>
  <c r="Z24" i="1" s="1"/>
  <c r="Y22" i="1"/>
  <c r="Z22" i="1" s="1"/>
  <c r="Y29" i="1"/>
  <c r="Z29" i="1" s="1"/>
  <c r="Y65" i="1"/>
  <c r="Z65" i="1" s="1"/>
  <c r="Y4" i="1"/>
  <c r="Y106" i="1"/>
  <c r="Y33" i="1"/>
  <c r="Z33" i="1" s="1"/>
  <c r="Y30" i="1"/>
  <c r="Y104" i="1"/>
  <c r="Z104" i="1" s="1"/>
  <c r="Y32" i="1"/>
  <c r="Z32" i="1" s="1"/>
  <c r="Y80" i="1"/>
  <c r="Z80" i="1" s="1"/>
  <c r="Y82" i="1"/>
  <c r="Z82" i="1" s="1"/>
  <c r="Y54" i="1"/>
  <c r="Z54" i="1" s="1"/>
  <c r="Y31" i="1"/>
  <c r="Z31" i="1" s="1"/>
  <c r="Y73" i="1"/>
  <c r="Z73" i="1" s="1"/>
  <c r="Y18" i="1"/>
  <c r="Z18" i="1" s="1"/>
  <c r="Y40" i="1"/>
  <c r="Z40" i="1" s="1"/>
  <c r="Y60" i="1"/>
  <c r="Z60" i="1" s="1"/>
  <c r="Y35" i="1"/>
  <c r="Z35" i="1" s="1"/>
  <c r="Y55" i="1"/>
  <c r="Z55" i="1" s="1"/>
  <c r="Y99" i="1"/>
  <c r="Z99" i="1" s="1"/>
  <c r="Y95" i="1"/>
  <c r="Z95" i="1" s="1"/>
  <c r="Y58" i="1"/>
  <c r="Z58" i="1" s="1"/>
  <c r="Y23" i="1"/>
  <c r="Z23" i="1" s="1"/>
  <c r="Y17" i="1"/>
  <c r="Z17" i="1" s="1"/>
  <c r="Y68" i="1"/>
  <c r="Y39" i="1"/>
  <c r="Z39" i="1" s="1"/>
  <c r="Y47" i="1"/>
  <c r="Z47" i="1" s="1"/>
  <c r="Y27" i="1"/>
  <c r="Z27" i="1" s="1"/>
  <c r="Y59" i="1"/>
  <c r="Z59" i="1" s="1"/>
  <c r="Y63" i="1"/>
  <c r="Z63" i="1" s="1"/>
  <c r="Y87" i="1"/>
  <c r="Z87" i="1" s="1"/>
  <c r="Y37" i="1"/>
  <c r="Z37" i="1" s="1"/>
  <c r="Y84" i="1"/>
  <c r="Z84" i="1" s="1"/>
  <c r="Y41" i="1"/>
  <c r="Z41" i="1" s="1"/>
  <c r="Y66" i="1"/>
  <c r="Z66" i="1" s="1"/>
  <c r="Y89" i="1"/>
  <c r="Z89" i="1" s="1"/>
  <c r="Y19" i="1"/>
  <c r="Y98" i="1"/>
  <c r="Z98" i="1" s="1"/>
  <c r="Y45" i="1"/>
  <c r="Z45" i="1" s="1"/>
  <c r="Y97" i="1"/>
  <c r="Z97" i="1" s="1"/>
  <c r="Y38" i="1"/>
  <c r="Z38" i="1" s="1"/>
  <c r="Y96" i="1"/>
  <c r="Z96" i="1" s="1"/>
  <c r="Y64" i="1"/>
  <c r="Z64" i="1" s="1"/>
  <c r="Y83" i="1"/>
  <c r="Z83" i="1" s="1"/>
  <c r="Y93" i="1"/>
  <c r="Z93" i="1" s="1"/>
  <c r="Y100" i="1"/>
  <c r="Z100" i="1" s="1"/>
  <c r="Y36" i="1"/>
  <c r="Z36" i="1" s="1"/>
  <c r="Y86" i="1"/>
  <c r="Z86" i="1" s="1"/>
  <c r="Y91" i="1"/>
  <c r="Z91" i="1" s="1"/>
  <c r="Y79" i="1"/>
  <c r="Z79" i="1" s="1"/>
  <c r="Y92" i="1"/>
  <c r="Z92" i="1" s="1"/>
  <c r="Y8" i="1"/>
  <c r="Y71" i="1"/>
  <c r="Z71" i="1" s="1"/>
  <c r="Y85" i="1"/>
  <c r="Z85" i="1" s="1"/>
  <c r="Y20" i="1"/>
  <c r="Z20" i="1" s="1"/>
  <c r="Y57" i="1"/>
  <c r="Z57" i="1" s="1"/>
  <c r="Y70" i="1"/>
  <c r="Z70" i="1" s="1"/>
  <c r="Y81" i="1"/>
  <c r="Z81" i="1" s="1"/>
  <c r="Y90" i="1"/>
  <c r="Z90" i="1" s="1"/>
  <c r="Y94" i="1"/>
  <c r="L147" i="3"/>
  <c r="L110" i="3"/>
  <c r="I148" i="3"/>
  <c r="J149" i="3"/>
  <c r="K149" i="3" s="1"/>
  <c r="L107" i="3"/>
  <c r="L7" i="3"/>
  <c r="J7" i="3" s="1"/>
  <c r="K7" i="3" s="1"/>
  <c r="L158" i="3"/>
  <c r="I158" i="3" s="1"/>
  <c r="J26" i="3"/>
  <c r="L45" i="3"/>
  <c r="I45" i="3" s="1"/>
  <c r="J145" i="3"/>
  <c r="K145" i="3" s="1"/>
  <c r="L53" i="3"/>
  <c r="I53" i="3" s="1"/>
  <c r="I35" i="3"/>
  <c r="L42" i="3"/>
  <c r="I42" i="3" s="1"/>
  <c r="L104" i="3"/>
  <c r="I104" i="3" s="1"/>
  <c r="J139" i="3"/>
  <c r="K139" i="3" s="1"/>
  <c r="I37" i="3"/>
  <c r="I28" i="3"/>
  <c r="L43" i="3"/>
  <c r="I43" i="3" s="1"/>
  <c r="I49" i="3"/>
  <c r="L133" i="3"/>
  <c r="L156" i="3"/>
  <c r="J156" i="3" s="1"/>
  <c r="K156" i="3" s="1"/>
  <c r="L157" i="3"/>
  <c r="I157" i="3" s="1"/>
  <c r="J151" i="3"/>
  <c r="K151" i="3" s="1"/>
  <c r="I163" i="3"/>
  <c r="L155" i="3"/>
  <c r="I155" i="3" s="1"/>
  <c r="L14" i="3"/>
  <c r="I14" i="3" s="1"/>
  <c r="I30" i="3"/>
  <c r="L15" i="3"/>
  <c r="J15" i="3" s="1"/>
  <c r="L78" i="3"/>
  <c r="I78" i="3" s="1"/>
  <c r="I57" i="3"/>
  <c r="I117" i="3"/>
  <c r="I129" i="3"/>
  <c r="J60" i="3"/>
  <c r="L46" i="3"/>
  <c r="J46" i="3" s="1"/>
  <c r="I36" i="3"/>
  <c r="L84" i="3"/>
  <c r="J84" i="3" s="1"/>
  <c r="K84" i="3" s="1"/>
  <c r="J17" i="3"/>
  <c r="L111" i="3"/>
  <c r="J111" i="3" s="1"/>
  <c r="K111" i="3" s="1"/>
  <c r="I132" i="3"/>
  <c r="I140" i="3"/>
  <c r="L160" i="3"/>
  <c r="J160" i="3" s="1"/>
  <c r="K160" i="3" s="1"/>
  <c r="L162" i="3"/>
  <c r="I162" i="3" s="1"/>
  <c r="L154" i="3"/>
  <c r="J154" i="3" s="1"/>
  <c r="K154" i="3" s="1"/>
  <c r="L146" i="3"/>
  <c r="I146" i="3" s="1"/>
  <c r="L159" i="3"/>
  <c r="J159" i="3" s="1"/>
  <c r="K159" i="3" s="1"/>
  <c r="L81" i="3"/>
  <c r="I81" i="3" s="1"/>
  <c r="J18" i="3"/>
  <c r="I125" i="3"/>
  <c r="L70" i="3"/>
  <c r="I70" i="3" s="1"/>
  <c r="L44" i="3"/>
  <c r="I44" i="3" s="1"/>
  <c r="J9" i="3"/>
  <c r="K9" i="3" s="1"/>
  <c r="J19" i="3"/>
  <c r="I126" i="3"/>
  <c r="L54" i="3"/>
  <c r="I54" i="3" s="1"/>
  <c r="I65" i="3"/>
  <c r="L6" i="3"/>
  <c r="I16" i="3"/>
  <c r="L124" i="3"/>
  <c r="L75" i="3"/>
  <c r="J75" i="3" s="1"/>
  <c r="K75" i="3" s="1"/>
  <c r="L112" i="3"/>
  <c r="I112" i="3" s="1"/>
  <c r="L113" i="3"/>
  <c r="J113" i="3" s="1"/>
  <c r="K113" i="3" s="1"/>
  <c r="J61" i="3"/>
  <c r="I143" i="3"/>
  <c r="I141" i="3"/>
  <c r="I150" i="3"/>
  <c r="I142" i="3"/>
  <c r="J164" i="3"/>
  <c r="K164" i="3" s="1"/>
  <c r="I33" i="3"/>
  <c r="I22" i="3"/>
  <c r="I121" i="3"/>
  <c r="J97" i="3"/>
  <c r="K97" i="3" s="1"/>
  <c r="I34" i="3"/>
  <c r="L23" i="3"/>
  <c r="I23" i="3" s="1"/>
  <c r="I122" i="3"/>
  <c r="J67" i="3"/>
  <c r="L41" i="3"/>
  <c r="L116" i="3"/>
  <c r="J116" i="3" s="1"/>
  <c r="K116" i="3" s="1"/>
  <c r="L10" i="3"/>
  <c r="J10" i="3" s="1"/>
  <c r="K10" i="3" s="1"/>
  <c r="J24" i="3"/>
  <c r="L119" i="3"/>
  <c r="L87" i="3"/>
  <c r="J87" i="3" s="1"/>
  <c r="K87" i="3" s="1"/>
  <c r="L51" i="3"/>
  <c r="L29" i="3"/>
  <c r="J29" i="3" s="1"/>
  <c r="L13" i="3"/>
  <c r="J13" i="3" s="1"/>
  <c r="I8" i="3"/>
  <c r="L52" i="3"/>
  <c r="I52" i="3" s="1"/>
  <c r="I120" i="3"/>
  <c r="L12" i="3"/>
  <c r="L101" i="3"/>
  <c r="Y56" i="1"/>
  <c r="Z56" i="1" s="1"/>
  <c r="L31" i="3" l="1"/>
  <c r="J41" i="3"/>
  <c r="L47" i="3"/>
  <c r="J6" i="3"/>
  <c r="K6" i="3" s="1"/>
  <c r="L11" i="3"/>
  <c r="L55" i="3"/>
  <c r="I133" i="3"/>
  <c r="L197" i="3"/>
  <c r="K67" i="3"/>
  <c r="K61" i="3"/>
  <c r="Z30" i="1"/>
  <c r="Z46" i="1"/>
  <c r="K23" i="3" s="1"/>
  <c r="Z19" i="1"/>
  <c r="Z68" i="1"/>
  <c r="K28" i="3" s="1"/>
  <c r="Z106" i="1"/>
  <c r="L170" i="1"/>
  <c r="L172" i="1"/>
  <c r="L169" i="1"/>
  <c r="L173" i="1"/>
  <c r="L171" i="1"/>
  <c r="Z105" i="1"/>
  <c r="L163" i="1"/>
  <c r="Z11" i="1"/>
  <c r="K32" i="3" s="1"/>
  <c r="Z94" i="1"/>
  <c r="Z102" i="1"/>
  <c r="L162" i="1"/>
  <c r="L160" i="1"/>
  <c r="L161" i="1"/>
  <c r="Z69" i="1"/>
  <c r="L58" i="3"/>
  <c r="K24" i="3"/>
  <c r="Z111" i="1"/>
  <c r="K45" i="3" s="1"/>
  <c r="L136" i="1"/>
  <c r="L119" i="1"/>
  <c r="L118" i="1"/>
  <c r="L117" i="1"/>
  <c r="L114" i="1"/>
  <c r="L128" i="1"/>
  <c r="L115" i="1"/>
  <c r="L113" i="1"/>
  <c r="L116" i="1"/>
  <c r="L130" i="1"/>
  <c r="L121" i="1"/>
  <c r="L120" i="1"/>
  <c r="L124" i="1"/>
  <c r="L135" i="1"/>
  <c r="L132" i="1"/>
  <c r="L131" i="1"/>
  <c r="L126" i="1"/>
  <c r="L127" i="1"/>
  <c r="L129" i="1"/>
  <c r="L134" i="1"/>
  <c r="L122" i="1"/>
  <c r="L123" i="1"/>
  <c r="L125" i="1"/>
  <c r="L133" i="1"/>
  <c r="Y180" i="1"/>
  <c r="L176" i="1" s="1"/>
  <c r="K70" i="3"/>
  <c r="K15" i="3"/>
  <c r="J14" i="3"/>
  <c r="K129" i="3"/>
  <c r="K44" i="3"/>
  <c r="K41" i="3"/>
  <c r="K36" i="3"/>
  <c r="K63" i="3"/>
  <c r="J117" i="3"/>
  <c r="K117" i="3" s="1"/>
  <c r="K128" i="3"/>
  <c r="K29" i="3"/>
  <c r="I149" i="3"/>
  <c r="I139" i="3"/>
  <c r="K56" i="3"/>
  <c r="K40" i="3"/>
  <c r="J52" i="3"/>
  <c r="I156" i="3"/>
  <c r="H4" i="1"/>
  <c r="K17" i="3"/>
  <c r="K42" i="3"/>
  <c r="K68" i="3"/>
  <c r="K18" i="3"/>
  <c r="K54" i="3"/>
  <c r="K19" i="3"/>
  <c r="K49" i="3"/>
  <c r="K53" i="3"/>
  <c r="K48" i="3"/>
  <c r="K60" i="3"/>
  <c r="K34" i="3"/>
  <c r="K43" i="3"/>
  <c r="K52" i="3"/>
  <c r="J120" i="3"/>
  <c r="K120" i="3" s="1"/>
  <c r="J8" i="3"/>
  <c r="K8" i="3" s="1"/>
  <c r="I10" i="3"/>
  <c r="J33" i="3"/>
  <c r="K13" i="3"/>
  <c r="K14" i="3"/>
  <c r="K22" i="3"/>
  <c r="K16" i="3"/>
  <c r="K38" i="3"/>
  <c r="K65" i="3"/>
  <c r="K57" i="3"/>
  <c r="K51" i="3"/>
  <c r="J42" i="3"/>
  <c r="X63" i="1"/>
  <c r="L118" i="3"/>
  <c r="I24" i="3"/>
  <c r="I154" i="3"/>
  <c r="I160" i="3"/>
  <c r="I87" i="3"/>
  <c r="J45" i="3"/>
  <c r="I116" i="3"/>
  <c r="J16" i="3"/>
  <c r="J126" i="3"/>
  <c r="K126" i="3" s="1"/>
  <c r="I159" i="3"/>
  <c r="J129" i="3"/>
  <c r="J30" i="3"/>
  <c r="J157" i="3"/>
  <c r="K157" i="3" s="1"/>
  <c r="J49" i="3"/>
  <c r="J35" i="3"/>
  <c r="J23" i="3"/>
  <c r="I97" i="3"/>
  <c r="J142" i="3"/>
  <c r="K142" i="3" s="1"/>
  <c r="J54" i="3"/>
  <c r="J44" i="3"/>
  <c r="J132" i="3"/>
  <c r="K132" i="3" s="1"/>
  <c r="J158" i="3"/>
  <c r="K158" i="3" s="1"/>
  <c r="L123" i="3"/>
  <c r="J34" i="3"/>
  <c r="L127" i="3"/>
  <c r="J65" i="3"/>
  <c r="I9" i="3"/>
  <c r="J70" i="3"/>
  <c r="J146" i="3"/>
  <c r="K146" i="3" s="1"/>
  <c r="J140" i="3"/>
  <c r="K140" i="3" s="1"/>
  <c r="J36" i="3"/>
  <c r="I60" i="3"/>
  <c r="J57" i="3"/>
  <c r="I15" i="3"/>
  <c r="J28" i="3"/>
  <c r="J53" i="3"/>
  <c r="I7" i="3"/>
  <c r="J148" i="3"/>
  <c r="K148" i="3" s="1"/>
  <c r="L100" i="3"/>
  <c r="H40" i="1"/>
  <c r="K40" i="1" s="1"/>
  <c r="J40" i="1" s="1"/>
  <c r="L40" i="1" s="1"/>
  <c r="I61" i="3"/>
  <c r="I19" i="3"/>
  <c r="I46" i="3"/>
  <c r="J78" i="3"/>
  <c r="K78" i="3" s="1"/>
  <c r="J155" i="3"/>
  <c r="K155" i="3" s="1"/>
  <c r="J104" i="3"/>
  <c r="K104" i="3" s="1"/>
  <c r="I26" i="3"/>
  <c r="H6" i="1"/>
  <c r="K6" i="1" s="1"/>
  <c r="J6" i="1" s="1"/>
  <c r="I13" i="3"/>
  <c r="J112" i="3"/>
  <c r="K112" i="3" s="1"/>
  <c r="L114" i="3"/>
  <c r="L62" i="3"/>
  <c r="I29" i="3"/>
  <c r="J22" i="3"/>
  <c r="I164" i="3"/>
  <c r="I113" i="3"/>
  <c r="I6" i="3"/>
  <c r="J125" i="3"/>
  <c r="K125" i="3" s="1"/>
  <c r="I151" i="3"/>
  <c r="J43" i="3"/>
  <c r="J37" i="3"/>
  <c r="L71" i="3"/>
  <c r="J94" i="3"/>
  <c r="K94" i="3" s="1"/>
  <c r="I94" i="3"/>
  <c r="H106" i="1"/>
  <c r="J40" i="3"/>
  <c r="I40" i="3"/>
  <c r="I59" i="3"/>
  <c r="J59" i="3"/>
  <c r="J62" i="3" s="1"/>
  <c r="J63" i="3"/>
  <c r="I63" i="3"/>
  <c r="L90" i="3"/>
  <c r="J91" i="3"/>
  <c r="K91" i="3" s="1"/>
  <c r="I91" i="3"/>
  <c r="I145" i="3"/>
  <c r="Z8" i="1"/>
  <c r="K26" i="3" s="1"/>
  <c r="H99" i="1"/>
  <c r="H25" i="1"/>
  <c r="I48" i="3"/>
  <c r="I50" i="3" s="1"/>
  <c r="J48" i="3"/>
  <c r="J128" i="3"/>
  <c r="I128" i="3"/>
  <c r="I130" i="3" s="1"/>
  <c r="J68" i="3"/>
  <c r="I68" i="3"/>
  <c r="J110" i="3"/>
  <c r="K110" i="3" s="1"/>
  <c r="I110" i="3"/>
  <c r="H36" i="1"/>
  <c r="H27" i="1"/>
  <c r="H44" i="1"/>
  <c r="H23" i="1"/>
  <c r="H29" i="1"/>
  <c r="H86" i="1"/>
  <c r="H53" i="1"/>
  <c r="H70" i="1"/>
  <c r="H43" i="1"/>
  <c r="H55" i="1"/>
  <c r="H28" i="1"/>
  <c r="H102" i="1"/>
  <c r="H19" i="1"/>
  <c r="H26" i="1"/>
  <c r="H85" i="1"/>
  <c r="H61" i="1"/>
  <c r="H10" i="1"/>
  <c r="H83" i="1"/>
  <c r="H90" i="1"/>
  <c r="H67" i="1"/>
  <c r="H34" i="1"/>
  <c r="H71" i="1"/>
  <c r="H33" i="1"/>
  <c r="H21" i="1"/>
  <c r="H103" i="1"/>
  <c r="H59" i="1"/>
  <c r="H13" i="1"/>
  <c r="H77" i="1"/>
  <c r="H66" i="1"/>
  <c r="H9" i="1"/>
  <c r="H49" i="1"/>
  <c r="H30" i="1"/>
  <c r="H91" i="1"/>
  <c r="H12" i="1"/>
  <c r="H32" i="1"/>
  <c r="H92" i="1"/>
  <c r="H38" i="1"/>
  <c r="H72" i="1"/>
  <c r="H111" i="1"/>
  <c r="K111" i="1" s="1"/>
  <c r="J111" i="1" s="1"/>
  <c r="H48" i="1"/>
  <c r="H14" i="1"/>
  <c r="H81" i="1"/>
  <c r="H89" i="1"/>
  <c r="I101" i="3"/>
  <c r="J101" i="3"/>
  <c r="I41" i="3"/>
  <c r="I67" i="3"/>
  <c r="J150" i="3"/>
  <c r="K150" i="3" s="1"/>
  <c r="J141" i="3"/>
  <c r="K141" i="3" s="1"/>
  <c r="J56" i="3"/>
  <c r="I56" i="3"/>
  <c r="I58" i="3" s="1"/>
  <c r="I75" i="3"/>
  <c r="J124" i="3"/>
  <c r="I124" i="3"/>
  <c r="I127" i="3" s="1"/>
  <c r="I72" i="3"/>
  <c r="J72" i="3"/>
  <c r="I18" i="3"/>
  <c r="I111" i="3"/>
  <c r="I17" i="3"/>
  <c r="I107" i="3"/>
  <c r="J107" i="3"/>
  <c r="K107" i="3" s="1"/>
  <c r="J25" i="3"/>
  <c r="I25" i="3"/>
  <c r="J38" i="3"/>
  <c r="I38" i="3"/>
  <c r="H54" i="1"/>
  <c r="H80" i="1"/>
  <c r="H8" i="1"/>
  <c r="H95" i="1"/>
  <c r="H24" i="1"/>
  <c r="H78" i="1"/>
  <c r="H42" i="1"/>
  <c r="H105" i="1"/>
  <c r="I131" i="3"/>
  <c r="J131" i="3"/>
  <c r="I147" i="3"/>
  <c r="J147" i="3"/>
  <c r="K147" i="3" s="1"/>
  <c r="H22" i="1"/>
  <c r="H17" i="1"/>
  <c r="H64" i="1"/>
  <c r="H56" i="1"/>
  <c r="I115" i="3"/>
  <c r="J115" i="3"/>
  <c r="I12" i="3"/>
  <c r="J12" i="3"/>
  <c r="J51" i="3"/>
  <c r="I51" i="3"/>
  <c r="I55" i="3" s="1"/>
  <c r="I119" i="3"/>
  <c r="I123" i="3" s="1"/>
  <c r="J119" i="3"/>
  <c r="J122" i="3"/>
  <c r="K122" i="3" s="1"/>
  <c r="J121" i="3"/>
  <c r="K121" i="3" s="1"/>
  <c r="J143" i="3"/>
  <c r="K143" i="3" s="1"/>
  <c r="L130" i="3"/>
  <c r="J81" i="3"/>
  <c r="K81" i="3" s="1"/>
  <c r="J162" i="3"/>
  <c r="K162" i="3" s="1"/>
  <c r="I84" i="3"/>
  <c r="J32" i="3"/>
  <c r="I32" i="3"/>
  <c r="J163" i="3"/>
  <c r="K163" i="3" s="1"/>
  <c r="J133" i="3"/>
  <c r="K133" i="3" s="1"/>
  <c r="J5" i="3"/>
  <c r="I5" i="3"/>
  <c r="H35" i="1"/>
  <c r="H88" i="1"/>
  <c r="H18" i="1"/>
  <c r="H31" i="1"/>
  <c r="H50" i="1"/>
  <c r="H94" i="1"/>
  <c r="H98" i="1"/>
  <c r="H11" i="1"/>
  <c r="H87" i="1"/>
  <c r="H47" i="1"/>
  <c r="H107" i="1"/>
  <c r="H5" i="1"/>
  <c r="H20" i="1"/>
  <c r="H100" i="1"/>
  <c r="H7" i="1"/>
  <c r="H37" i="1"/>
  <c r="H84" i="1"/>
  <c r="H16" i="1"/>
  <c r="H52" i="1"/>
  <c r="H97" i="1"/>
  <c r="H96" i="1"/>
  <c r="H51" i="1"/>
  <c r="H110" i="1"/>
  <c r="H60" i="1"/>
  <c r="H108" i="1"/>
  <c r="H63" i="1"/>
  <c r="H69" i="1"/>
  <c r="H104" i="1"/>
  <c r="H39" i="1"/>
  <c r="K4" i="1"/>
  <c r="J4" i="1" s="1"/>
  <c r="H46" i="1"/>
  <c r="H68" i="1"/>
  <c r="H73" i="1"/>
  <c r="H75" i="1"/>
  <c r="H82" i="1"/>
  <c r="H57" i="1"/>
  <c r="H62" i="1"/>
  <c r="H65" i="1"/>
  <c r="H109" i="1"/>
  <c r="H101" i="1"/>
  <c r="H76" i="1"/>
  <c r="Z4" i="1"/>
  <c r="H58" i="1"/>
  <c r="H15" i="1"/>
  <c r="H79" i="1"/>
  <c r="H41" i="1"/>
  <c r="H45" i="1"/>
  <c r="H93" i="1"/>
  <c r="H74" i="1"/>
  <c r="L198" i="3" l="1"/>
  <c r="K100" i="3"/>
  <c r="K58" i="3"/>
  <c r="K33" i="3"/>
  <c r="L179" i="1"/>
  <c r="L178" i="1"/>
  <c r="L174" i="1"/>
  <c r="L175" i="1"/>
  <c r="L112" i="1"/>
  <c r="L159" i="1"/>
  <c r="L177" i="1"/>
  <c r="L111" i="1"/>
  <c r="I130" i="1"/>
  <c r="K59" i="3"/>
  <c r="K62" i="3" s="1"/>
  <c r="K50" i="3"/>
  <c r="K71" i="3"/>
  <c r="K37" i="3"/>
  <c r="Z180" i="1"/>
  <c r="K55" i="3"/>
  <c r="K47" i="3"/>
  <c r="K130" i="3"/>
  <c r="I118" i="3"/>
  <c r="J58" i="3"/>
  <c r="J130" i="3"/>
  <c r="J55" i="3"/>
  <c r="J50" i="3"/>
  <c r="I62" i="3"/>
  <c r="X111" i="1"/>
  <c r="X13" i="1"/>
  <c r="X25" i="1"/>
  <c r="X62" i="1"/>
  <c r="X100" i="1"/>
  <c r="X90" i="1"/>
  <c r="X56" i="1"/>
  <c r="X52" i="1"/>
  <c r="X74" i="1"/>
  <c r="X21" i="1"/>
  <c r="X54" i="1"/>
  <c r="X41" i="1"/>
  <c r="X29" i="1"/>
  <c r="X24" i="1"/>
  <c r="X71" i="1"/>
  <c r="X20" i="1"/>
  <c r="X48" i="1"/>
  <c r="X50" i="1"/>
  <c r="X58" i="1"/>
  <c r="X17" i="1"/>
  <c r="X53" i="1"/>
  <c r="X35" i="1"/>
  <c r="X68" i="1"/>
  <c r="X99" i="1"/>
  <c r="X22" i="1"/>
  <c r="X47" i="1"/>
  <c r="X104" i="1"/>
  <c r="X7" i="1"/>
  <c r="X70" i="1"/>
  <c r="X15" i="1"/>
  <c r="X82" i="1"/>
  <c r="X40" i="1"/>
  <c r="X61" i="1"/>
  <c r="X110" i="1"/>
  <c r="X101" i="1"/>
  <c r="X38" i="1"/>
  <c r="X108" i="1"/>
  <c r="X37" i="1"/>
  <c r="X87" i="1"/>
  <c r="X34" i="1"/>
  <c r="X72" i="1"/>
  <c r="X9" i="1"/>
  <c r="X84" i="1"/>
  <c r="X26" i="1"/>
  <c r="X66" i="1"/>
  <c r="X33" i="1"/>
  <c r="X28" i="1"/>
  <c r="X96" i="1"/>
  <c r="X76" i="1"/>
  <c r="X78" i="1"/>
  <c r="X85" i="1"/>
  <c r="X105" i="1"/>
  <c r="X92" i="1"/>
  <c r="X102" i="1"/>
  <c r="X77" i="1"/>
  <c r="X51" i="1"/>
  <c r="X59" i="1"/>
  <c r="X60" i="1"/>
  <c r="X16" i="1"/>
  <c r="X49" i="1"/>
  <c r="X95" i="1"/>
  <c r="X88" i="1"/>
  <c r="X98" i="1"/>
  <c r="X94" i="1"/>
  <c r="X18" i="1"/>
  <c r="X67" i="1"/>
  <c r="X30" i="1"/>
  <c r="X10" i="1"/>
  <c r="X97" i="1"/>
  <c r="X12" i="1"/>
  <c r="X36" i="1"/>
  <c r="X32" i="1"/>
  <c r="X83" i="1"/>
  <c r="X6" i="1"/>
  <c r="X73" i="1"/>
  <c r="X65" i="1"/>
  <c r="X27" i="1"/>
  <c r="X79" i="1"/>
  <c r="X107" i="1"/>
  <c r="X64" i="1"/>
  <c r="X93" i="1"/>
  <c r="X69" i="1"/>
  <c r="X106" i="1"/>
  <c r="X8" i="1"/>
  <c r="X80" i="1"/>
  <c r="X81" i="1"/>
  <c r="X14" i="1"/>
  <c r="X57" i="1"/>
  <c r="X42" i="1"/>
  <c r="X103" i="1"/>
  <c r="X86" i="1"/>
  <c r="X46" i="1"/>
  <c r="X44" i="1"/>
  <c r="X43" i="1"/>
  <c r="X91" i="1"/>
  <c r="X5" i="1"/>
  <c r="X109" i="1"/>
  <c r="X11" i="1"/>
  <c r="X4" i="1"/>
  <c r="X39" i="1"/>
  <c r="X31" i="1"/>
  <c r="X75" i="1"/>
  <c r="X45" i="1"/>
  <c r="X89" i="1"/>
  <c r="X19" i="1"/>
  <c r="X23" i="1"/>
  <c r="X55" i="1"/>
  <c r="J47" i="3"/>
  <c r="I11" i="3"/>
  <c r="J100" i="3"/>
  <c r="K90" i="3"/>
  <c r="J31" i="3"/>
  <c r="K93" i="1"/>
  <c r="J93" i="1" s="1"/>
  <c r="I116" i="1" s="1"/>
  <c r="K57" i="1"/>
  <c r="J57" i="1" s="1"/>
  <c r="K97" i="1"/>
  <c r="J97" i="1" s="1"/>
  <c r="K5" i="1"/>
  <c r="J5" i="1" s="1"/>
  <c r="K88" i="1"/>
  <c r="J88" i="1" s="1"/>
  <c r="K115" i="3"/>
  <c r="K118" i="3" s="1"/>
  <c r="J118" i="3"/>
  <c r="K80" i="1"/>
  <c r="J80" i="1" s="1"/>
  <c r="I137" i="1" s="1"/>
  <c r="J127" i="3"/>
  <c r="K124" i="3"/>
  <c r="K127" i="3" s="1"/>
  <c r="K101" i="3"/>
  <c r="K114" i="3" s="1"/>
  <c r="J114" i="3"/>
  <c r="K14" i="1"/>
  <c r="J14" i="1" s="1"/>
  <c r="K12" i="1"/>
  <c r="J12" i="1" s="1"/>
  <c r="K9" i="1"/>
  <c r="J9" i="1" s="1"/>
  <c r="K71" i="1"/>
  <c r="J71" i="1" s="1"/>
  <c r="K26" i="1"/>
  <c r="J26" i="1" s="1"/>
  <c r="K86" i="1"/>
  <c r="J86" i="1" s="1"/>
  <c r="K45" i="1"/>
  <c r="J45" i="1" s="1"/>
  <c r="I113" i="1" s="1"/>
  <c r="K58" i="1"/>
  <c r="J58" i="1" s="1"/>
  <c r="K109" i="1"/>
  <c r="J109" i="1" s="1"/>
  <c r="K82" i="1"/>
  <c r="J82" i="1" s="1"/>
  <c r="K46" i="1"/>
  <c r="J46" i="1" s="1"/>
  <c r="K69" i="1"/>
  <c r="J69" i="1" s="1"/>
  <c r="I138" i="1" s="1"/>
  <c r="K110" i="1"/>
  <c r="J110" i="1" s="1"/>
  <c r="K52" i="1"/>
  <c r="J52" i="1" s="1"/>
  <c r="K7" i="1"/>
  <c r="J7" i="1" s="1"/>
  <c r="K107" i="1"/>
  <c r="J107" i="1" s="1"/>
  <c r="K98" i="1"/>
  <c r="J98" i="1" s="1"/>
  <c r="K18" i="1"/>
  <c r="J18" i="1" s="1"/>
  <c r="I174" i="1" s="1"/>
  <c r="K35" i="1"/>
  <c r="J35" i="1" s="1"/>
  <c r="K119" i="3"/>
  <c r="K123" i="3" s="1"/>
  <c r="J123" i="3"/>
  <c r="K22" i="1"/>
  <c r="J22" i="1" s="1"/>
  <c r="I197" i="3"/>
  <c r="K24" i="1"/>
  <c r="J24" i="1" s="1"/>
  <c r="K54" i="1"/>
  <c r="J54" i="1" s="1"/>
  <c r="J90" i="3"/>
  <c r="I114" i="3"/>
  <c r="K48" i="1"/>
  <c r="J48" i="1" s="1"/>
  <c r="K38" i="1"/>
  <c r="J38" i="1" s="1"/>
  <c r="K91" i="1"/>
  <c r="J91" i="1" s="1"/>
  <c r="K66" i="1"/>
  <c r="J66" i="1" s="1"/>
  <c r="K103" i="1"/>
  <c r="J103" i="1" s="1"/>
  <c r="I127" i="1" s="1"/>
  <c r="K34" i="1"/>
  <c r="J34" i="1" s="1"/>
  <c r="K10" i="1"/>
  <c r="J10" i="1" s="1"/>
  <c r="I178" i="1" s="1"/>
  <c r="K19" i="1"/>
  <c r="J19" i="1" s="1"/>
  <c r="K43" i="1"/>
  <c r="J43" i="1" s="1"/>
  <c r="K29" i="1"/>
  <c r="J29" i="1" s="1"/>
  <c r="K36" i="1"/>
  <c r="J36" i="1" s="1"/>
  <c r="I71" i="3"/>
  <c r="I47" i="3"/>
  <c r="K15" i="1"/>
  <c r="J15" i="1" s="1"/>
  <c r="K68" i="1"/>
  <c r="J68" i="1" s="1"/>
  <c r="I179" i="1" s="1"/>
  <c r="K60" i="1"/>
  <c r="J60" i="1" s="1"/>
  <c r="K11" i="1"/>
  <c r="J11" i="1" s="1"/>
  <c r="K78" i="1"/>
  <c r="J78" i="1" s="1"/>
  <c r="K72" i="1"/>
  <c r="J72" i="1" s="1"/>
  <c r="K59" i="1"/>
  <c r="J59" i="1" s="1"/>
  <c r="I139" i="1" s="1"/>
  <c r="K83" i="1"/>
  <c r="J83" i="1" s="1"/>
  <c r="K55" i="1"/>
  <c r="J55" i="1" s="1"/>
  <c r="K27" i="1"/>
  <c r="J27" i="1" s="1"/>
  <c r="K41" i="1"/>
  <c r="J41" i="1" s="1"/>
  <c r="K12" i="3"/>
  <c r="K31" i="3" s="1"/>
  <c r="K65" i="1"/>
  <c r="J65" i="1" s="1"/>
  <c r="K75" i="1"/>
  <c r="J75" i="1" s="1"/>
  <c r="L4" i="1"/>
  <c r="I5" i="1"/>
  <c r="K63" i="1"/>
  <c r="J63" i="1" s="1"/>
  <c r="K51" i="1"/>
  <c r="J51" i="1" s="1"/>
  <c r="K16" i="1"/>
  <c r="J16" i="1" s="1"/>
  <c r="K100" i="1"/>
  <c r="J100" i="1" s="1"/>
  <c r="K47" i="1"/>
  <c r="J47" i="1" s="1"/>
  <c r="K94" i="1"/>
  <c r="J94" i="1" s="1"/>
  <c r="I39" i="3"/>
  <c r="I31" i="3"/>
  <c r="K56" i="1"/>
  <c r="J56" i="1" s="1"/>
  <c r="K105" i="1"/>
  <c r="J105" i="1" s="1"/>
  <c r="I129" i="1" s="1"/>
  <c r="K95" i="1"/>
  <c r="J95" i="1" s="1"/>
  <c r="I90" i="3"/>
  <c r="K89" i="1"/>
  <c r="J89" i="1" s="1"/>
  <c r="K92" i="1"/>
  <c r="J92" i="1" s="1"/>
  <c r="K30" i="1"/>
  <c r="J30" i="1" s="1"/>
  <c r="K77" i="1"/>
  <c r="J77" i="1" s="1"/>
  <c r="K21" i="1"/>
  <c r="J21" i="1" s="1"/>
  <c r="K67" i="1"/>
  <c r="J67" i="1" s="1"/>
  <c r="K61" i="1"/>
  <c r="J61" i="1" s="1"/>
  <c r="K102" i="1"/>
  <c r="J102" i="1" s="1"/>
  <c r="I126" i="1" s="1"/>
  <c r="K70" i="1"/>
  <c r="J70" i="1" s="1"/>
  <c r="K23" i="1"/>
  <c r="J23" i="1" s="1"/>
  <c r="K25" i="1"/>
  <c r="J25" i="1" s="1"/>
  <c r="I100" i="3"/>
  <c r="J71" i="3"/>
  <c r="K101" i="1"/>
  <c r="J101" i="1" s="1"/>
  <c r="I117" i="1" s="1"/>
  <c r="K104" i="1"/>
  <c r="J104" i="1" s="1"/>
  <c r="I120" i="1" s="1"/>
  <c r="K37" i="1"/>
  <c r="J37" i="1" s="1"/>
  <c r="K31" i="1"/>
  <c r="J31" i="1" s="1"/>
  <c r="K17" i="1"/>
  <c r="J17" i="1" s="1"/>
  <c r="K131" i="3"/>
  <c r="K197" i="3" s="1"/>
  <c r="J197" i="3"/>
  <c r="K74" i="1"/>
  <c r="J74" i="1" s="1"/>
  <c r="K79" i="1"/>
  <c r="J79" i="1" s="1"/>
  <c r="K76" i="1"/>
  <c r="J76" i="1" s="1"/>
  <c r="K62" i="1"/>
  <c r="J62" i="1" s="1"/>
  <c r="K73" i="1"/>
  <c r="J73" i="1" s="1"/>
  <c r="K39" i="1"/>
  <c r="J39" i="1" s="1"/>
  <c r="L39" i="1" s="1"/>
  <c r="K108" i="1"/>
  <c r="J108" i="1" s="1"/>
  <c r="K96" i="1"/>
  <c r="J96" i="1" s="1"/>
  <c r="K84" i="1"/>
  <c r="J84" i="1" s="1"/>
  <c r="K20" i="1"/>
  <c r="J20" i="1" s="1"/>
  <c r="K87" i="1"/>
  <c r="J87" i="1" s="1"/>
  <c r="K50" i="1"/>
  <c r="J50" i="1" s="1"/>
  <c r="L6" i="1"/>
  <c r="J11" i="3"/>
  <c r="K5" i="3"/>
  <c r="K11" i="3" s="1"/>
  <c r="J39" i="3"/>
  <c r="K64" i="1"/>
  <c r="J64" i="1" s="1"/>
  <c r="K42" i="1"/>
  <c r="J42" i="1" s="1"/>
  <c r="K8" i="1"/>
  <c r="J8" i="1" s="1"/>
  <c r="K81" i="1"/>
  <c r="J81" i="1" s="1"/>
  <c r="K32" i="1"/>
  <c r="J32" i="1" s="1"/>
  <c r="K49" i="1"/>
  <c r="J49" i="1" s="1"/>
  <c r="K13" i="1"/>
  <c r="J13" i="1" s="1"/>
  <c r="K33" i="1"/>
  <c r="J33" i="1" s="1"/>
  <c r="K90" i="1"/>
  <c r="J90" i="1" s="1"/>
  <c r="K85" i="1"/>
  <c r="J85" i="1" s="1"/>
  <c r="K28" i="1"/>
  <c r="J28" i="1" s="1"/>
  <c r="K53" i="1"/>
  <c r="J53" i="1" s="1"/>
  <c r="K44" i="1"/>
  <c r="J44" i="1" s="1"/>
  <c r="K99" i="1"/>
  <c r="J99" i="1" s="1"/>
  <c r="K106" i="1"/>
  <c r="J106" i="1" s="1"/>
  <c r="K39" i="3" l="1"/>
  <c r="I8" i="1"/>
  <c r="X180" i="1"/>
  <c r="J198" i="3"/>
  <c r="I198" i="3"/>
  <c r="I78" i="1"/>
  <c r="L77" i="1"/>
  <c r="I95" i="1"/>
  <c r="L94" i="1"/>
  <c r="L59" i="1"/>
  <c r="I60" i="1"/>
  <c r="I64" i="1"/>
  <c r="L60" i="1"/>
  <c r="I24" i="1"/>
  <c r="I45" i="1"/>
  <c r="L43" i="1"/>
  <c r="L91" i="1"/>
  <c r="I92" i="1"/>
  <c r="I43" i="1"/>
  <c r="L44" i="1"/>
  <c r="L28" i="1"/>
  <c r="I29" i="1"/>
  <c r="L90" i="1"/>
  <c r="I93" i="1"/>
  <c r="I39" i="1"/>
  <c r="L32" i="1"/>
  <c r="L64" i="1"/>
  <c r="I65" i="1"/>
  <c r="L23" i="1"/>
  <c r="I25" i="1"/>
  <c r="L102" i="1"/>
  <c r="I103" i="1"/>
  <c r="I63" i="1"/>
  <c r="L67" i="1"/>
  <c r="L92" i="1"/>
  <c r="I94" i="1"/>
  <c r="L105" i="1"/>
  <c r="I104" i="1"/>
  <c r="I19" i="1"/>
  <c r="L22" i="1"/>
  <c r="L35" i="1"/>
  <c r="I36" i="1"/>
  <c r="L98" i="1"/>
  <c r="I99" i="1"/>
  <c r="I9" i="1"/>
  <c r="L7" i="1"/>
  <c r="L110" i="1"/>
  <c r="I111" i="1"/>
  <c r="I47" i="1"/>
  <c r="L46" i="1"/>
  <c r="L109" i="1"/>
  <c r="I110" i="1"/>
  <c r="I46" i="1"/>
  <c r="L45" i="1"/>
  <c r="I27" i="1"/>
  <c r="L26" i="1"/>
  <c r="I11" i="1"/>
  <c r="L9" i="1"/>
  <c r="L14" i="1"/>
  <c r="I15" i="1"/>
  <c r="I6" i="1"/>
  <c r="L5" i="1"/>
  <c r="I58" i="1"/>
  <c r="L57" i="1"/>
  <c r="L106" i="1"/>
  <c r="I108" i="1"/>
  <c r="L13" i="1"/>
  <c r="I14" i="1"/>
  <c r="I22" i="1"/>
  <c r="L20" i="1"/>
  <c r="L62" i="1"/>
  <c r="I67" i="1"/>
  <c r="I106" i="1"/>
  <c r="L104" i="1"/>
  <c r="I101" i="1"/>
  <c r="L100" i="1"/>
  <c r="I62" i="1"/>
  <c r="L65" i="1"/>
  <c r="L78" i="1"/>
  <c r="I79" i="1"/>
  <c r="L103" i="1"/>
  <c r="I105" i="1"/>
  <c r="L54" i="1"/>
  <c r="I55" i="1"/>
  <c r="L53" i="1"/>
  <c r="I48" i="1"/>
  <c r="I89" i="1"/>
  <c r="L87" i="1"/>
  <c r="L84" i="1"/>
  <c r="I86" i="1"/>
  <c r="L108" i="1"/>
  <c r="I107" i="1"/>
  <c r="I74" i="1"/>
  <c r="L73" i="1"/>
  <c r="I77" i="1"/>
  <c r="L76" i="1"/>
  <c r="I75" i="1"/>
  <c r="L74" i="1"/>
  <c r="I10" i="1"/>
  <c r="L17" i="1"/>
  <c r="I35" i="1"/>
  <c r="L37" i="1"/>
  <c r="I102" i="1"/>
  <c r="L101" i="1"/>
  <c r="L47" i="1"/>
  <c r="I53" i="1"/>
  <c r="I17" i="1"/>
  <c r="L16" i="1"/>
  <c r="L63" i="1"/>
  <c r="I66" i="1"/>
  <c r="I76" i="1"/>
  <c r="L75" i="1"/>
  <c r="L27" i="1"/>
  <c r="I28" i="1"/>
  <c r="L83" i="1"/>
  <c r="I84" i="1"/>
  <c r="I73" i="1"/>
  <c r="L72" i="1"/>
  <c r="L11" i="1"/>
  <c r="I12" i="1"/>
  <c r="L68" i="1"/>
  <c r="I71" i="1"/>
  <c r="I33" i="1"/>
  <c r="L29" i="1"/>
  <c r="I30" i="1"/>
  <c r="I23" i="1"/>
  <c r="L19" i="1"/>
  <c r="L34" i="1"/>
  <c r="I37" i="1"/>
  <c r="L66" i="1"/>
  <c r="I69" i="1"/>
  <c r="I41" i="1"/>
  <c r="L38" i="1"/>
  <c r="I38" i="1"/>
  <c r="L24" i="1"/>
  <c r="L88" i="1"/>
  <c r="I87" i="1"/>
  <c r="L93" i="1"/>
  <c r="I91" i="1"/>
  <c r="L8" i="1"/>
  <c r="I7" i="1"/>
  <c r="I51" i="1"/>
  <c r="L50" i="1"/>
  <c r="I80" i="1"/>
  <c r="L79" i="1"/>
  <c r="L51" i="1"/>
  <c r="I52" i="1"/>
  <c r="L55" i="1"/>
  <c r="I49" i="1"/>
  <c r="L15" i="1"/>
  <c r="I16" i="1"/>
  <c r="I18" i="1"/>
  <c r="L10" i="1"/>
  <c r="L48" i="1"/>
  <c r="I61" i="1"/>
  <c r="L99" i="1"/>
  <c r="I96" i="1"/>
  <c r="L85" i="1"/>
  <c r="I88" i="1"/>
  <c r="I34" i="1"/>
  <c r="L33" i="1"/>
  <c r="I56" i="1"/>
  <c r="L49" i="1"/>
  <c r="I82" i="1"/>
  <c r="L81" i="1"/>
  <c r="L42" i="1"/>
  <c r="I44" i="1"/>
  <c r="K198" i="3"/>
  <c r="L96" i="1"/>
  <c r="I100" i="1"/>
  <c r="I26" i="1"/>
  <c r="L25" i="1"/>
  <c r="I72" i="1"/>
  <c r="L70" i="1"/>
  <c r="L61" i="1"/>
  <c r="I50" i="1"/>
  <c r="L21" i="1"/>
  <c r="I20" i="1"/>
  <c r="L30" i="1"/>
  <c r="I31" i="1"/>
  <c r="I90" i="1"/>
  <c r="L89" i="1"/>
  <c r="L95" i="1"/>
  <c r="I97" i="1"/>
  <c r="L56" i="1"/>
  <c r="I57" i="1"/>
  <c r="I42" i="1"/>
  <c r="I40" i="1"/>
  <c r="L41" i="1"/>
  <c r="L36" i="1"/>
  <c r="I32" i="1"/>
  <c r="L18" i="1"/>
  <c r="I21" i="1"/>
  <c r="I109" i="1"/>
  <c r="L107" i="1"/>
  <c r="I54" i="1"/>
  <c r="L52" i="1"/>
  <c r="L69" i="1"/>
  <c r="I68" i="1"/>
  <c r="I83" i="1"/>
  <c r="L82" i="1"/>
  <c r="L58" i="1"/>
  <c r="I59" i="1"/>
  <c r="I85" i="1"/>
  <c r="L86" i="1"/>
  <c r="I70" i="1"/>
  <c r="L71" i="1"/>
  <c r="I13" i="1"/>
  <c r="L12" i="1"/>
  <c r="I81" i="1"/>
  <c r="L80" i="1"/>
  <c r="I98" i="1"/>
  <c r="L97" i="1"/>
  <c r="G38" i="1" l="1"/>
  <c r="G73" i="1"/>
  <c r="G106" i="1"/>
  <c r="G58" i="1"/>
  <c r="G19" i="1"/>
  <c r="G13" i="1"/>
  <c r="G55" i="1"/>
  <c r="G52" i="1"/>
  <c r="G50" i="1"/>
  <c r="G74" i="1"/>
  <c r="G81" i="1"/>
  <c r="G39" i="1"/>
  <c r="G8" i="1"/>
  <c r="G41" i="1"/>
  <c r="G30" i="1"/>
  <c r="G84" i="1"/>
  <c r="G17" i="1"/>
  <c r="G80" i="1"/>
  <c r="G48" i="1"/>
  <c r="G6" i="1"/>
  <c r="G46" i="1"/>
  <c r="G9" i="1"/>
  <c r="G32" i="1"/>
  <c r="G56" i="1"/>
  <c r="G70" i="1"/>
  <c r="G54" i="1"/>
  <c r="G100" i="1"/>
  <c r="G61" i="1"/>
  <c r="G45" i="1"/>
  <c r="G60" i="1"/>
  <c r="G101" i="1"/>
  <c r="G90" i="1"/>
  <c r="G72" i="1"/>
  <c r="G10" i="1"/>
  <c r="G107" i="1"/>
  <c r="G14" i="1"/>
  <c r="G85" i="1"/>
  <c r="G93" i="1"/>
  <c r="G94" i="1"/>
  <c r="G111" i="1"/>
  <c r="G68" i="1"/>
  <c r="G79" i="1"/>
  <c r="G35" i="1"/>
  <c r="G71" i="1"/>
  <c r="G103" i="1"/>
  <c r="G24" i="1"/>
  <c r="G15" i="1"/>
  <c r="G110" i="1"/>
  <c r="G99" i="1"/>
  <c r="G40" i="1"/>
  <c r="G34" i="1"/>
  <c r="G59" i="1"/>
  <c r="G21" i="1"/>
  <c r="G91" i="1"/>
  <c r="G92" i="1"/>
  <c r="G16" i="1"/>
  <c r="G49" i="1"/>
  <c r="G95" i="1"/>
  <c r="G31" i="1"/>
  <c r="G26" i="1"/>
  <c r="G75" i="1"/>
  <c r="G86" i="1"/>
  <c r="G108" i="1"/>
  <c r="G109" i="1"/>
  <c r="G29" i="1"/>
  <c r="G23" i="1"/>
  <c r="G66" i="1"/>
  <c r="G51" i="1"/>
  <c r="G27" i="1"/>
  <c r="G82" i="1"/>
  <c r="G33" i="1"/>
  <c r="G18" i="1"/>
  <c r="G97" i="1"/>
  <c r="G7" i="1"/>
  <c r="G96" i="1"/>
  <c r="G69" i="1"/>
  <c r="G28" i="1"/>
  <c r="G53" i="1"/>
  <c r="G67" i="1"/>
  <c r="G42" i="1"/>
  <c r="G37" i="1"/>
  <c r="G12" i="1"/>
  <c r="G76" i="1"/>
  <c r="G104" i="1"/>
  <c r="G25" i="1"/>
  <c r="G22" i="1"/>
  <c r="G5" i="1"/>
  <c r="G11" i="1"/>
  <c r="G47" i="1"/>
  <c r="G36" i="1"/>
  <c r="G44" i="1"/>
  <c r="G88" i="1"/>
  <c r="G83" i="1"/>
  <c r="G78" i="1"/>
  <c r="G87" i="1"/>
  <c r="G105" i="1"/>
  <c r="G64" i="1"/>
  <c r="G62" i="1"/>
  <c r="G57" i="1"/>
  <c r="G20" i="1"/>
  <c r="G102" i="1"/>
  <c r="G77" i="1"/>
  <c r="G89" i="1"/>
  <c r="G98" i="1"/>
  <c r="G65" i="1"/>
  <c r="G63" i="1"/>
  <c r="G43" i="1"/>
</calcChain>
</file>

<file path=xl/sharedStrings.xml><?xml version="1.0" encoding="utf-8"?>
<sst xmlns="http://schemas.openxmlformats.org/spreadsheetml/2006/main" count="1509" uniqueCount="276">
  <si>
    <t>NRO</t>
  </si>
  <si>
    <t>AÑO</t>
  </si>
  <si>
    <t>MES</t>
  </si>
  <si>
    <t>NOMBRE DEL ACCIONISTA</t>
  </si>
  <si>
    <t>NACIONALIDAD</t>
  </si>
  <si>
    <t>PRIVILEGIO</t>
  </si>
  <si>
    <t>FISICA</t>
  </si>
  <si>
    <t>CI</t>
  </si>
  <si>
    <t>PY</t>
  </si>
  <si>
    <t>AR</t>
  </si>
  <si>
    <t>OVM</t>
  </si>
  <si>
    <t>PARENTESCO</t>
  </si>
  <si>
    <t>Hermana de Raúl, Ida, Roberto, José</t>
  </si>
  <si>
    <t>Hermana de Raúl, Marta  Roberto, José</t>
  </si>
  <si>
    <t>Hermano de Raúl, Marta, Ida y Roberto Amigo Marcet</t>
  </si>
  <si>
    <t>Hermano de Marta, Ida, Roberto y José Amigo Marcet</t>
  </si>
  <si>
    <t>Hna. de Leticia, Fátima, Juan Carlos, José María y Enrique Díaz Benza Cámeron</t>
  </si>
  <si>
    <t>Tía de los Díaz Benza Cámeron</t>
  </si>
  <si>
    <t>Hija de Esther Silvera de Díaz Benza</t>
  </si>
  <si>
    <t>Hija de Wylma Ruiz de Frutos</t>
  </si>
  <si>
    <t>Hija Salvador Gulino Alfieri y Elena Klein de Gulino</t>
  </si>
  <si>
    <t>Hijo de Salvador Gulino Alfieri y Elena Klein de Gulino</t>
  </si>
  <si>
    <t>Cuñado de Pascual Burró Mujica y Hno. de Silvia Gustale de Burró</t>
  </si>
  <si>
    <t>Hija de Noemí Vargas de Martínez</t>
  </si>
  <si>
    <t>Hijo de Noemí Vargas de Martínez</t>
  </si>
  <si>
    <t>Prima de Pascual, José y Ramón Burró Mujica.</t>
  </si>
  <si>
    <t>Hno de Beatriz Marta, Juan Bautista y Jorge Daniel Pecci M.</t>
  </si>
  <si>
    <t>Hna de Antonio Luís, Juan Bautista y Jorge Daniel Pecci M.</t>
  </si>
  <si>
    <t>Madre de Pilar, Alexis y Wilma Frutos Ruiz</t>
  </si>
  <si>
    <t>Cuñada de Ana María Díaz Benza</t>
  </si>
  <si>
    <t>Sub Total por Grupo Familiar</t>
  </si>
  <si>
    <t>AMIGO MARCET</t>
  </si>
  <si>
    <t>BURRÓ GUSTALE</t>
  </si>
  <si>
    <t>DIAZ BENZA CAMERON</t>
  </si>
  <si>
    <t>DIAZ BENZA SILVERA</t>
  </si>
  <si>
    <t>FACETTI FERNANDEZ</t>
  </si>
  <si>
    <t>FRUTOS RUIZ</t>
  </si>
  <si>
    <t>GOMEZ GONZALEZ</t>
  </si>
  <si>
    <t>GULINO KLEIN</t>
  </si>
  <si>
    <t>MARTINEZ VARGAS</t>
  </si>
  <si>
    <t>MARTINEZ GAONA</t>
  </si>
  <si>
    <t>PECCI MILTOS</t>
  </si>
  <si>
    <t>OTROS SIN GRUPO FAMILIAR</t>
  </si>
  <si>
    <t>% DE PARTICIPACION
DEL GRUPO FAMILIAR</t>
  </si>
  <si>
    <t>CANTIDAD
DE VOTOS</t>
  </si>
  <si>
    <t>CANTIDAD DE
ACCIONES</t>
  </si>
  <si>
    <t>TOTAL DE
VOTOS</t>
  </si>
  <si>
    <t>CODIGO
ENTIDAD</t>
  </si>
  <si>
    <t>CANTIDAD 
DE VOTOS</t>
  </si>
  <si>
    <t>% DE 
PARTICIPACION</t>
  </si>
  <si>
    <t>CANTIDAD DE 
ACCIONES</t>
  </si>
  <si>
    <t>TOTAL
 DE VOTOS</t>
  </si>
  <si>
    <t>PAIS DE 
RESIDENCIA</t>
  </si>
  <si>
    <t>CODIGO 
ENTIDAD</t>
  </si>
  <si>
    <t>TIPO DE DOCUMENTO 
DE IDENTIDAD</t>
  </si>
  <si>
    <t>VALOR 
NOMINAL</t>
  </si>
  <si>
    <t>NRO DE 
DOCUMENTO</t>
  </si>
  <si>
    <t>TIPO DE 
PERSONA</t>
  </si>
  <si>
    <t>FECHA DE 
NACIMIENTO</t>
  </si>
  <si>
    <t>CLASE DE 
ACCION</t>
  </si>
  <si>
    <t>PRIMAS DE 
EMISION</t>
  </si>
  <si>
    <t>REGISTRO DE ACCIONISTAS POR PARENTESCO</t>
  </si>
  <si>
    <t>Numero de Serie</t>
  </si>
  <si>
    <t>Cálculo series</t>
  </si>
  <si>
    <t>hasta</t>
  </si>
  <si>
    <t>Sobra</t>
  </si>
  <si>
    <t>Numeración de las Acciones</t>
  </si>
  <si>
    <t>Desde</t>
  </si>
  <si>
    <t xml:space="preserve">Hijos de Wanda Aponte </t>
  </si>
  <si>
    <t>Burró Gustale, Felipe Pascual</t>
  </si>
  <si>
    <t>Burró Gustale, María Viviana</t>
  </si>
  <si>
    <t>Burró Gustale, María Silvia</t>
  </si>
  <si>
    <t>Burró Mujica, Genaro Ramón</t>
  </si>
  <si>
    <t>Laufer, Jaime</t>
  </si>
  <si>
    <t>Díaz Benza Cameron, Cristina</t>
  </si>
  <si>
    <t>Díaz Benza Cameron, Enrique</t>
  </si>
  <si>
    <t>Díaz Benza Cameron, Fátima</t>
  </si>
  <si>
    <t>Díaz Benza Cameron, José M.</t>
  </si>
  <si>
    <t>Díaz Benza Cameron, Juan C.</t>
  </si>
  <si>
    <t>Díaz Benza Cameron, Leticia</t>
  </si>
  <si>
    <t>Gómez González, Osvaldo José</t>
  </si>
  <si>
    <t>Szklarkiervicz Kaller, Horacio</t>
  </si>
  <si>
    <t>Cabezudo Fassanelli, Juan Carlos</t>
  </si>
  <si>
    <t>Amigo Marcet, José Ricardo</t>
  </si>
  <si>
    <t>Amigo Marcet, Raúl Gustavo</t>
  </si>
  <si>
    <t>Amigo Marcet, Roberto Daniel</t>
  </si>
  <si>
    <t xml:space="preserve">Amigo de Arbo, Marta Graciela </t>
  </si>
  <si>
    <t>Gustale Portillo, Eduardo</t>
  </si>
  <si>
    <t>Gulino Klein, Luís Fernando</t>
  </si>
  <si>
    <t>Gulino Klein, Osvaldo Javier</t>
  </si>
  <si>
    <t>Díaz Benza Cano, Ana María</t>
  </si>
  <si>
    <t>Gulino Alfieri, Salvador Óscar</t>
  </si>
  <si>
    <t>Pecci Miltos, Jorge Daniel</t>
  </si>
  <si>
    <t>Pecci Miltos, Juan Baustista</t>
  </si>
  <si>
    <t>Burró Urbieta, Ángel José</t>
  </si>
  <si>
    <t>Flecha Fiore, Claudia Valeria</t>
  </si>
  <si>
    <t>Frutos Ruiz, Alexis Manuel</t>
  </si>
  <si>
    <t>Frutos Ruiz, Wilma Patricia</t>
  </si>
  <si>
    <t>Martínez Gaona, María Gazul</t>
  </si>
  <si>
    <t>Martínez Gaona, Octavio Miguel</t>
  </si>
  <si>
    <t>Martínez Gaona, Victor Juan</t>
  </si>
  <si>
    <t>Reimert Burró, Erik</t>
  </si>
  <si>
    <t>Reimert Burró, Nicole Marie</t>
  </si>
  <si>
    <t>Martínez de Cáceres, María Cristina</t>
  </si>
  <si>
    <t>Martínez de Fleitas, María Lilia</t>
  </si>
  <si>
    <t>Martínez Vargas, Javier Luís</t>
  </si>
  <si>
    <t>Martínez Vargas, José María</t>
  </si>
  <si>
    <t>Martínez Vargas, Marcelo Amado</t>
  </si>
  <si>
    <t>OXILIA APONTE</t>
  </si>
  <si>
    <t xml:space="preserve">Burró Urbieta, María Eugenia </t>
  </si>
  <si>
    <t>Hermana de Raúl, Ida, Roberto, Marta</t>
  </si>
  <si>
    <t>Madre de Rossana, Luis Fernando y Osvaldo Javier Gulino K.</t>
  </si>
  <si>
    <t>Hijo Salvador Gulino Alfieri y Elena Klein de Gulino</t>
  </si>
  <si>
    <t xml:space="preserve">Léoz de Chamorro, María Elina </t>
  </si>
  <si>
    <t>Madre de Sabrina y Martín Oxilia Aponte</t>
  </si>
  <si>
    <t>LÉOZ INSFRÁN</t>
  </si>
  <si>
    <t>Hna. de Cristina, Leticia, Fátima, Juan Carlos y José María Díaz Benza Cámeron</t>
  </si>
  <si>
    <t>Hna. de Cristina, Leticia,  Juan Carlos, José María y Enrique Díaz Benza Cámeron</t>
  </si>
  <si>
    <t>Hna. de Cristina, Leticia, Fátima, Juan Carlos y Enrique Díaz Benza Cámeron</t>
  </si>
  <si>
    <t>Hna. de Cristina, Leticia, Fátima,  José María y Enrique Díaz Benza Cámeron</t>
  </si>
  <si>
    <t>Hna. de Cristina,  Fátima, Juan Carlos, José María y Enrique Díaz Benza Cámeron</t>
  </si>
  <si>
    <t>Angulo vda. de Pecci, María Leonor</t>
  </si>
  <si>
    <t>Pecci Angulo, Antonio Luis Felix</t>
  </si>
  <si>
    <t xml:space="preserve">Pecci Angulo, Karina Beatriz MarÍa </t>
  </si>
  <si>
    <t>Pecci Angulo, Veronica Patricia María</t>
  </si>
  <si>
    <t>Cuñada de los Hermanos Pecci</t>
  </si>
  <si>
    <t>Hija de Leonor Angulo</t>
  </si>
  <si>
    <t>Levy Beczko, Julio Manuel</t>
  </si>
  <si>
    <t>Levy Beczko, Marcos Darío</t>
  </si>
  <si>
    <t>Ballasch Amigo, Federico Javier</t>
  </si>
  <si>
    <t xml:space="preserve">Amigo de Ballasch, Ida Susana </t>
  </si>
  <si>
    <t>Padre de Julio Levy y Marcos Levy</t>
  </si>
  <si>
    <t>Hijo de Ricardo Levy</t>
  </si>
  <si>
    <t>Padre de Rossana, Luis Fernando y Osvaldo Javier Gulino K.</t>
  </si>
  <si>
    <t>LEVY</t>
  </si>
  <si>
    <t>Hijo de Ida Susana Amigo de Ballasch</t>
  </si>
  <si>
    <t>Burró Urbieta, María Alejandra</t>
  </si>
  <si>
    <t>Capurro Saldivar, Patricia Noemí</t>
  </si>
  <si>
    <t>Mongelos Cantero, Jorge Daniel</t>
  </si>
  <si>
    <t>Léoz Insfrán, Óscar Eusebio</t>
  </si>
  <si>
    <t>Léoz Insfrán, María Asunción</t>
  </si>
  <si>
    <t>Léoz de Lezcano, Verónica Rosa</t>
  </si>
  <si>
    <t>Fontclara Sotomayor, Alba Marina</t>
  </si>
  <si>
    <t>Morel Fernandez, Cristhian Milciades</t>
  </si>
  <si>
    <t>Ojeda Rocha, Hector Daniel</t>
  </si>
  <si>
    <t>Esposa de Felipe Burró Gustale</t>
  </si>
  <si>
    <t>Kemper Perera, Luis Nessim</t>
  </si>
  <si>
    <t>Gulino Klein, Rossana Beatriz</t>
  </si>
  <si>
    <t>KEMPER</t>
  </si>
  <si>
    <t>Mujica de Carrón, Daisy Avelina</t>
  </si>
  <si>
    <t xml:space="preserve">Levy Leopold, Ricardo Natalio Fred </t>
  </si>
  <si>
    <t>Urbieta de Burró, María Elizabeth</t>
  </si>
  <si>
    <t>Domed de Fariñas, Berta Agustina</t>
  </si>
  <si>
    <t>Aponte de Oxilia, Wanda Lis</t>
  </si>
  <si>
    <t>Kemper Perera, Eduardo Kurt</t>
  </si>
  <si>
    <t xml:space="preserve">Vaesken Vda. de Facetti, Zeneida  </t>
  </si>
  <si>
    <t>Asrilevich Barnatan, Luis Jaime</t>
  </si>
  <si>
    <t>Ruiz de Frutos, Wylma Inés</t>
  </si>
  <si>
    <t>Klein de Gulino, Elena Beatriz</t>
  </si>
  <si>
    <t>Burró Urbieta, MarÍa Inés</t>
  </si>
  <si>
    <t>Vargas Vda. de Martínez, María Lilia Noemí</t>
  </si>
  <si>
    <t>Pecci de Callizo, Beatriz Marta</t>
  </si>
  <si>
    <t>Acuña Zárate, Nadinhe Erica</t>
  </si>
  <si>
    <t>Ricciardi Chaves, José Antonio</t>
  </si>
  <si>
    <t>Frutos de Elizeche, María del Pilar</t>
  </si>
  <si>
    <t>Fernández de Facetti, Marta Petrona</t>
  </si>
  <si>
    <t>Silvera Vda. de Díaz Benza, María Esther</t>
  </si>
  <si>
    <t>Agüero Insfrán, Carlos Darío</t>
  </si>
  <si>
    <t>Rojas Abreu, César Ricardo</t>
  </si>
  <si>
    <t>Oxilia Aponte, Martín Enrique</t>
  </si>
  <si>
    <t>Fretes Núñez, Milciades Damian</t>
  </si>
  <si>
    <t>Rios Acosta, Denis Arsenio</t>
  </si>
  <si>
    <t>Oxilia Aponte, Sabrina María</t>
  </si>
  <si>
    <t>Velilla Barreto, Manuel Antonio</t>
  </si>
  <si>
    <t>Mereles Gaona, Carlos María</t>
  </si>
  <si>
    <t>Díaz Benza Silvera, María José</t>
  </si>
  <si>
    <t>Díaz Benza Silvera, David Ismael</t>
  </si>
  <si>
    <t>Díaz Benza Silvera, Lorena María Cristina</t>
  </si>
  <si>
    <t>Díaz Benza Silvera, Gabriela María Inés</t>
  </si>
  <si>
    <t>Díaz Benza Silvera, Fátima M. Alejandra</t>
  </si>
  <si>
    <t>Corvalán Espinola, Mauro Gualberto</t>
  </si>
  <si>
    <t>Figueredo de Moreno, Gloria Marilin</t>
  </si>
  <si>
    <t>REGISTROS DE ACCIONISTAS DE SOLAR BANCO S.A.E.</t>
  </si>
  <si>
    <t xml:space="preserve">Gómez González, Fernando Rafael </t>
  </si>
  <si>
    <t>Gómez González, Félix Guillermo</t>
  </si>
  <si>
    <t>Burró Muller, Birgit</t>
  </si>
  <si>
    <t>Recanate Talavera, Porfirio</t>
  </si>
  <si>
    <t>Hija de Ramón Burró Mujica</t>
  </si>
  <si>
    <t>Hno. De Eduardo Kemper</t>
  </si>
  <si>
    <t>Hno. De Luis Kemper</t>
  </si>
  <si>
    <t>Hna de Juan Bautista y Jorge Daniel Pecci M.</t>
  </si>
  <si>
    <t xml:space="preserve">CAPITAL TOTAL </t>
  </si>
  <si>
    <t>Grupo F56 S.A.</t>
  </si>
  <si>
    <t>JURIDICA</t>
  </si>
  <si>
    <t>RUC</t>
  </si>
  <si>
    <t>80132636-2</t>
  </si>
  <si>
    <t>Platina Paraguay S.A.</t>
  </si>
  <si>
    <t>Gómez Casco, Sandra Natalia Carolina</t>
  </si>
  <si>
    <t>Gómez Casco, Hugo Darío</t>
  </si>
  <si>
    <t>GOMEZ CASCO</t>
  </si>
  <si>
    <t>Domaniczky Frutos, Carlos Manuel</t>
  </si>
  <si>
    <t>Esculies Burró, Sofia</t>
  </si>
  <si>
    <t>Díaz Benza Silvera, María Soledad</t>
  </si>
  <si>
    <t>Tattón Gómez, María Verónica</t>
  </si>
  <si>
    <t>Goldemberg Asrilevich, Jorge Aníbal</t>
  </si>
  <si>
    <t>CAPITAL TOTAL</t>
  </si>
  <si>
    <t>Hno de Viviana y Silvia</t>
  </si>
  <si>
    <t>Hna de Sr Felipe y Silvia</t>
  </si>
  <si>
    <t>Hna de Sr Felipe y Viviana</t>
  </si>
  <si>
    <t>Hermano de Sandra, Hugo, Felix y Fernando</t>
  </si>
  <si>
    <t>Hermano de Sandra, Hugo, Osvaldo y Fernando</t>
  </si>
  <si>
    <t>Hna de Carlos José Tatton</t>
  </si>
  <si>
    <t>Cuñada de Marta P. de Facetti</t>
  </si>
  <si>
    <t>Hermano de Sandra, Hugo, Felix y Osvaldo</t>
  </si>
  <si>
    <t>Tío de Felipe Burró Gustale</t>
  </si>
  <si>
    <t>Tía de Felipe Burró Gustale</t>
  </si>
  <si>
    <t>Primo de Felipe Burró Gustale</t>
  </si>
  <si>
    <t>Prima de Felipe Burró Gustale</t>
  </si>
  <si>
    <t xml:space="preserve">Hna de Octavio y Victor. </t>
  </si>
  <si>
    <t>Hno de Maria y Victor</t>
  </si>
  <si>
    <t>Hno de Maria y Octavio</t>
  </si>
  <si>
    <t xml:space="preserve">Hermana de Osvaldo Gomez </t>
  </si>
  <si>
    <t>hijo de la Sra. Viviana Burró - sobrino del Sr. Felipe</t>
  </si>
  <si>
    <t>hija de la Sra. Viviana Burró - sobrino del Sr. Felipe</t>
  </si>
  <si>
    <t>hija de la Sra. Silvia Burró - sobrina del Sr. Felipe</t>
  </si>
  <si>
    <t>Cuñada de Zeneida Vaezquen Vda. De Facetti</t>
  </si>
  <si>
    <t>Hermano de Asunción,Verónica y María</t>
  </si>
  <si>
    <t>Hermana de Asunción, Verónica y Óscar</t>
  </si>
  <si>
    <t>Hermana de María, Verónica y Óscar</t>
  </si>
  <si>
    <t>Hermana de Asunción, María y Óscar</t>
  </si>
  <si>
    <t xml:space="preserve">Hija de Wanda Aponte </t>
  </si>
  <si>
    <t>Burró Rivarola, Enzo Pascual</t>
  </si>
  <si>
    <t>PSV-A</t>
  </si>
  <si>
    <t>Cristaldo Savorgnan, Óscar Raúl</t>
  </si>
  <si>
    <t>Artaza Hnos. Comercial e Industrial S.A.</t>
  </si>
  <si>
    <t>Baez Maldonado, Eugenio</t>
  </si>
  <si>
    <t>Royal Seguros Sociedad Anónima Compañía de Seguros</t>
  </si>
  <si>
    <t>Cháves Martínez, Carlos María</t>
  </si>
  <si>
    <t>PSV (A/B) SIN PRIVILEGIO</t>
  </si>
  <si>
    <t>PSV - A</t>
  </si>
  <si>
    <t>-</t>
  </si>
  <si>
    <t>PSV - B</t>
  </si>
  <si>
    <t>Ceidor S.R.L.</t>
  </si>
  <si>
    <t>Álvarez López, Ángel Ramón</t>
  </si>
  <si>
    <t>Martinez Sabe, Luis Alberto</t>
  </si>
  <si>
    <t>JURÍDICA</t>
  </si>
  <si>
    <t>80048953-5</t>
  </si>
  <si>
    <t xml:space="preserve">Arias Diez Perez, Jose Luis </t>
  </si>
  <si>
    <t>Mendoza Gonzalez, Derlis Milciades</t>
  </si>
  <si>
    <t>Cardozo Ramos, Ornella Antonieta</t>
  </si>
  <si>
    <t>80001728-5</t>
  </si>
  <si>
    <t>80074196-0</t>
  </si>
  <si>
    <t>80021212-6</t>
  </si>
  <si>
    <t>Velilla Fernandez, Adrian Alberto</t>
  </si>
  <si>
    <t xml:space="preserve">Sykora Frich, Julio Ruben </t>
  </si>
  <si>
    <t xml:space="preserve">Campos Cervera, Fabricio Serrati </t>
  </si>
  <si>
    <t xml:space="preserve">Alvarez Lopez, Angel Ramon </t>
  </si>
  <si>
    <t>Zarza de Paredes, Adelaida Zunilda</t>
  </si>
  <si>
    <t xml:space="preserve">Paredes, Juan Ubaldo </t>
  </si>
  <si>
    <t xml:space="preserve">Fernández Rabade, Hugo Raúl </t>
  </si>
  <si>
    <t xml:space="preserve">Sykora Frich, Julio Rubén </t>
  </si>
  <si>
    <t>Fernández Ruíz, Nancy Elizabeth</t>
  </si>
  <si>
    <t>Zafiro Group S.A</t>
  </si>
  <si>
    <t>Lugo Rolón, Eduarda Susana</t>
  </si>
  <si>
    <t>PSV-B</t>
  </si>
  <si>
    <t>Ríos Villagra, Sonia Catalina</t>
  </si>
  <si>
    <t>Chamorro Bogado, Pedro Tomas</t>
  </si>
  <si>
    <t>Caja de Jubilaciones y Pensiones del personal de la ANDE</t>
  </si>
  <si>
    <t>80000954-1</t>
  </si>
  <si>
    <t>Investor Casa de Bolsa S.A.</t>
  </si>
  <si>
    <t>80060213-7</t>
  </si>
  <si>
    <t xml:space="preserve">Domaniczky Vargas, María Alexandra </t>
  </si>
  <si>
    <t>Servicon S.A.</t>
  </si>
  <si>
    <t>80027232-3</t>
  </si>
  <si>
    <t xml:space="preserve">Fondo Mutuo Investor Rendimiento Total Gs. </t>
  </si>
  <si>
    <t>80123886-2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</si>
</sst>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([$€]* #,##0.00_);_([$€]* \(#,##0.00\);_([$€]* &quot;-&quot;??_);_(@_)"/>
    <numFmt numFmtId="167" formatCode="0.000"/>
    <numFmt numFmtId="168" formatCode="#,##0_ ;[Red]\-#,##0\ "/>
    <numFmt numFmtId="169" formatCode="0.0000%"/>
    <numFmt numFmtId="170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62"/>
      <name val="Calibri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indexed="8"/>
      <name val="Arial Narrow"/>
      <family val="2"/>
    </font>
    <font>
      <b/>
      <i/>
      <sz val="11"/>
      <color theme="0"/>
      <name val="Arial Narrow"/>
      <family val="2"/>
    </font>
    <font>
      <sz val="11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4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8" fillId="9" borderId="0" applyNumberFormat="0" applyBorder="0" applyAlignment="0" applyProtection="0"/>
    <xf numFmtId="0" fontId="16" fillId="14" borderId="1" applyNumberFormat="0" applyAlignment="0" applyProtection="0"/>
    <xf numFmtId="0" fontId="9" fillId="15" borderId="2" applyNumberFormat="0" applyAlignment="0" applyProtection="0"/>
    <xf numFmtId="0" fontId="13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3" fillId="2" borderId="0" applyNumberFormat="0" applyBorder="0" applyAlignment="0" applyProtection="0"/>
    <xf numFmtId="0" fontId="7" fillId="11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10" fillId="10" borderId="1" applyNumberFormat="0" applyAlignment="0" applyProtection="0"/>
    <xf numFmtId="166" fontId="18" fillId="0" borderId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19" fillId="0" borderId="0" applyNumberFormat="0" applyFont="0" applyFill="0" applyBorder="0" applyAlignment="0" applyProtection="0"/>
    <xf numFmtId="0" fontId="11" fillId="7" borderId="0" applyNumberFormat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0" fillId="10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18" fillId="6" borderId="4" applyNumberFormat="0" applyFont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14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17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" fillId="20" borderId="0" applyNumberFormat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19" borderId="0" xfId="0" applyFill="1"/>
    <xf numFmtId="0" fontId="0" fillId="22" borderId="10" xfId="0" applyFill="1" applyBorder="1" applyAlignment="1">
      <alignment horizontal="center"/>
    </xf>
    <xf numFmtId="0" fontId="0" fillId="22" borderId="10" xfId="0" applyFill="1" applyBorder="1" applyAlignment="1">
      <alignment horizontal="left"/>
    </xf>
    <xf numFmtId="0" fontId="25" fillId="21" borderId="10" xfId="64" applyFont="1" applyFill="1" applyBorder="1" applyAlignment="1">
      <alignment horizontal="center" vertical="center" wrapText="1"/>
    </xf>
    <xf numFmtId="3" fontId="25" fillId="21" borderId="10" xfId="64" applyNumberFormat="1" applyFont="1" applyFill="1" applyBorder="1" applyAlignment="1">
      <alignment horizontal="center" vertical="center" wrapText="1"/>
    </xf>
    <xf numFmtId="10" fontId="0" fillId="0" borderId="0" xfId="0" applyNumberFormat="1"/>
    <xf numFmtId="0" fontId="2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165" fontId="0" fillId="19" borderId="10" xfId="0" applyNumberFormat="1" applyFill="1" applyBorder="1" applyAlignment="1">
      <alignment horizontal="center"/>
    </xf>
    <xf numFmtId="0" fontId="29" fillId="19" borderId="10" xfId="47" applyFont="1" applyFill="1" applyBorder="1"/>
    <xf numFmtId="0" fontId="29" fillId="19" borderId="10" xfId="47" applyFont="1" applyFill="1" applyBorder="1" applyAlignment="1">
      <alignment horizontal="center"/>
    </xf>
    <xf numFmtId="1" fontId="29" fillId="19" borderId="10" xfId="47" applyNumberFormat="1" applyFont="1" applyFill="1" applyBorder="1" applyAlignment="1">
      <alignment horizontal="center"/>
    </xf>
    <xf numFmtId="167" fontId="29" fillId="19" borderId="10" xfId="47" applyNumberFormat="1" applyFont="1" applyFill="1" applyBorder="1" applyAlignment="1">
      <alignment horizontal="center"/>
    </xf>
    <xf numFmtId="165" fontId="29" fillId="19" borderId="10" xfId="47" applyNumberFormat="1" applyFont="1" applyFill="1" applyBorder="1" applyAlignment="1">
      <alignment horizontal="center"/>
    </xf>
    <xf numFmtId="10" fontId="28" fillId="19" borderId="10" xfId="2" applyNumberFormat="1" applyFont="1" applyFill="1" applyBorder="1" applyAlignment="1">
      <alignment horizontal="center"/>
    </xf>
    <xf numFmtId="165" fontId="28" fillId="19" borderId="10" xfId="0" applyNumberFormat="1" applyFont="1" applyFill="1" applyBorder="1"/>
    <xf numFmtId="0" fontId="28" fillId="19" borderId="10" xfId="0" applyFont="1" applyFill="1" applyBorder="1" applyAlignment="1">
      <alignment horizontal="center"/>
    </xf>
    <xf numFmtId="168" fontId="28" fillId="19" borderId="10" xfId="0" applyNumberFormat="1" applyFont="1" applyFill="1" applyBorder="1" applyAlignment="1">
      <alignment horizontal="center"/>
    </xf>
    <xf numFmtId="0" fontId="30" fillId="21" borderId="0" xfId="0" applyFont="1" applyFill="1" applyAlignment="1">
      <alignment horizontal="center"/>
    </xf>
    <xf numFmtId="10" fontId="0" fillId="22" borderId="10" xfId="2" applyNumberFormat="1" applyFont="1" applyFill="1" applyBorder="1" applyAlignment="1">
      <alignment horizontal="center"/>
    </xf>
    <xf numFmtId="0" fontId="0" fillId="23" borderId="12" xfId="0" applyFill="1" applyBorder="1" applyAlignment="1">
      <alignment horizontal="left"/>
    </xf>
    <xf numFmtId="0" fontId="0" fillId="23" borderId="13" xfId="0" applyFill="1" applyBorder="1" applyAlignment="1">
      <alignment horizontal="left"/>
    </xf>
    <xf numFmtId="165" fontId="0" fillId="23" borderId="13" xfId="1" applyNumberFormat="1" applyFont="1" applyFill="1" applyBorder="1" applyAlignment="1">
      <alignment horizontal="center"/>
    </xf>
    <xf numFmtId="0" fontId="0" fillId="23" borderId="13" xfId="0" applyFill="1" applyBorder="1" applyAlignment="1">
      <alignment horizontal="center"/>
    </xf>
    <xf numFmtId="0" fontId="0" fillId="23" borderId="11" xfId="0" applyFill="1" applyBorder="1" applyAlignment="1">
      <alignment horizontal="center"/>
    </xf>
    <xf numFmtId="10" fontId="0" fillId="23" borderId="10" xfId="0" applyNumberFormat="1" applyFill="1" applyBorder="1" applyAlignment="1">
      <alignment horizontal="center"/>
    </xf>
    <xf numFmtId="3" fontId="0" fillId="23" borderId="10" xfId="0" applyNumberFormat="1" applyFill="1" applyBorder="1" applyAlignment="1">
      <alignment horizontal="right" indent="2"/>
    </xf>
    <xf numFmtId="0" fontId="0" fillId="23" borderId="13" xfId="0" applyFill="1" applyBorder="1"/>
    <xf numFmtId="3" fontId="2" fillId="23" borderId="10" xfId="0" applyNumberFormat="1" applyFont="1" applyFill="1" applyBorder="1" applyAlignment="1">
      <alignment horizontal="right" indent="2"/>
    </xf>
    <xf numFmtId="10" fontId="0" fillId="23" borderId="11" xfId="0" applyNumberFormat="1" applyFill="1" applyBorder="1" applyAlignment="1">
      <alignment horizontal="center"/>
    </xf>
    <xf numFmtId="1" fontId="26" fillId="21" borderId="10" xfId="3" applyNumberFormat="1" applyFont="1" applyFill="1" applyBorder="1" applyAlignment="1">
      <alignment horizontal="center" vertical="center" wrapText="1"/>
    </xf>
    <xf numFmtId="0" fontId="31" fillId="19" borderId="0" xfId="0" applyFont="1" applyFill="1"/>
    <xf numFmtId="0" fontId="31" fillId="19" borderId="0" xfId="0" applyFont="1" applyFill="1" applyAlignment="1">
      <alignment horizontal="left"/>
    </xf>
    <xf numFmtId="0" fontId="34" fillId="0" borderId="0" xfId="0" applyFont="1"/>
    <xf numFmtId="165" fontId="0" fillId="22" borderId="10" xfId="1" applyNumberFormat="1" applyFont="1" applyFill="1" applyBorder="1" applyAlignment="1">
      <alignment horizontal="center"/>
    </xf>
    <xf numFmtId="0" fontId="0" fillId="23" borderId="11" xfId="0" applyFill="1" applyBorder="1"/>
    <xf numFmtId="0" fontId="31" fillId="0" borderId="0" xfId="0" applyFont="1"/>
    <xf numFmtId="0" fontId="0" fillId="0" borderId="10" xfId="0" applyBorder="1" applyAlignment="1">
      <alignment horizontal="center"/>
    </xf>
    <xf numFmtId="0" fontId="24" fillId="0" borderId="10" xfId="47" applyFon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7" fontId="24" fillId="0" borderId="10" xfId="47" applyNumberFormat="1" applyFont="1" applyBorder="1" applyAlignment="1">
      <alignment horizontal="center"/>
    </xf>
    <xf numFmtId="165" fontId="24" fillId="0" borderId="10" xfId="47" applyNumberFormat="1" applyFont="1" applyBorder="1" applyAlignment="1">
      <alignment horizontal="center"/>
    </xf>
    <xf numFmtId="0" fontId="24" fillId="0" borderId="10" xfId="47" applyFont="1" applyBorder="1"/>
    <xf numFmtId="14" fontId="24" fillId="0" borderId="10" xfId="47" applyNumberFormat="1" applyFont="1" applyBorder="1" applyAlignment="1">
      <alignment horizontal="center"/>
    </xf>
    <xf numFmtId="165" fontId="24" fillId="0" borderId="10" xfId="41" applyNumberFormat="1" applyFont="1" applyFill="1" applyBorder="1" applyAlignment="1">
      <alignment horizontal="center"/>
    </xf>
    <xf numFmtId="165" fontId="24" fillId="0" borderId="10" xfId="41" applyNumberFormat="1" applyFont="1" applyFill="1" applyBorder="1" applyAlignment="1">
      <alignment horizontal="left" vertical="top"/>
    </xf>
    <xf numFmtId="169" fontId="0" fillId="0" borderId="10" xfId="2" applyNumberFormat="1" applyFont="1" applyFill="1" applyBorder="1" applyAlignment="1">
      <alignment horizontal="center"/>
    </xf>
    <xf numFmtId="165" fontId="0" fillId="0" borderId="10" xfId="0" applyNumberFormat="1" applyBorder="1"/>
    <xf numFmtId="165" fontId="25" fillId="21" borderId="15" xfId="1" applyNumberFormat="1" applyFont="1" applyFill="1" applyBorder="1" applyAlignment="1">
      <alignment vertical="center" wrapText="1"/>
    </xf>
    <xf numFmtId="3" fontId="26" fillId="21" borderId="14" xfId="3" applyNumberFormat="1" applyFont="1" applyFill="1" applyBorder="1" applyAlignment="1">
      <alignment horizontal="center" vertical="center" wrapText="1"/>
    </xf>
    <xf numFmtId="170" fontId="24" fillId="0" borderId="10" xfId="1" applyNumberFormat="1" applyFont="1" applyFill="1" applyBorder="1" applyAlignment="1">
      <alignment horizontal="center" vertical="center"/>
    </xf>
    <xf numFmtId="170" fontId="24" fillId="0" borderId="15" xfId="1" applyNumberFormat="1" applyFont="1" applyFill="1" applyBorder="1" applyAlignment="1">
      <alignment horizontal="center" vertical="center"/>
    </xf>
    <xf numFmtId="170" fontId="24" fillId="0" borderId="16" xfId="1" applyNumberFormat="1" applyFont="1" applyFill="1" applyBorder="1" applyAlignment="1">
      <alignment horizontal="center" vertical="center"/>
    </xf>
    <xf numFmtId="165" fontId="24" fillId="0" borderId="10" xfId="41" applyNumberFormat="1" applyFont="1" applyFill="1" applyBorder="1" applyAlignment="1">
      <alignment horizontal="center" vertical="top"/>
    </xf>
    <xf numFmtId="0" fontId="0" fillId="0" borderId="10" xfId="48" applyFont="1" applyBorder="1"/>
    <xf numFmtId="0" fontId="1" fillId="0" borderId="10" xfId="48" applyBorder="1"/>
    <xf numFmtId="0" fontId="32" fillId="19" borderId="10" xfId="0" applyFont="1" applyFill="1" applyBorder="1" applyAlignment="1">
      <alignment horizontal="center" vertical="center"/>
    </xf>
    <xf numFmtId="3" fontId="37" fillId="21" borderId="15" xfId="0" applyNumberFormat="1" applyFont="1" applyFill="1" applyBorder="1" applyAlignment="1">
      <alignment horizontal="center" vertical="center"/>
    </xf>
    <xf numFmtId="0" fontId="35" fillId="21" borderId="14" xfId="0" applyFont="1" applyFill="1" applyBorder="1" applyAlignment="1">
      <alignment horizontal="center" vertical="center"/>
    </xf>
    <xf numFmtId="3" fontId="31" fillId="0" borderId="0" xfId="0" applyNumberFormat="1" applyFont="1"/>
    <xf numFmtId="10" fontId="0" fillId="23" borderId="10" xfId="2" applyNumberFormat="1" applyFont="1" applyFill="1" applyBorder="1" applyAlignment="1">
      <alignment horizontal="center"/>
    </xf>
    <xf numFmtId="10" fontId="2" fillId="23" borderId="10" xfId="2" applyNumberFormat="1" applyFont="1" applyFill="1" applyBorder="1" applyAlignment="1">
      <alignment horizontal="center"/>
    </xf>
    <xf numFmtId="169" fontId="2" fillId="0" borderId="15" xfId="2" applyNumberFormat="1" applyFont="1" applyFill="1" applyBorder="1" applyAlignment="1">
      <alignment horizontal="center"/>
    </xf>
    <xf numFmtId="165" fontId="2" fillId="0" borderId="15" xfId="0" applyNumberFormat="1" applyFont="1" applyBorder="1"/>
    <xf numFmtId="0" fontId="0" fillId="0" borderId="12" xfId="0" applyBorder="1" applyAlignment="1">
      <alignment horizontal="center"/>
    </xf>
    <xf numFmtId="0" fontId="0" fillId="23" borderId="12" xfId="0" applyFill="1" applyBorder="1"/>
    <xf numFmtId="0" fontId="0" fillId="22" borderId="10" xfId="0" applyFill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/>
    </xf>
    <xf numFmtId="165" fontId="2" fillId="0" borderId="10" xfId="1" applyNumberFormat="1" applyFont="1" applyBorder="1"/>
    <xf numFmtId="0" fontId="0" fillId="22" borderId="0" xfId="0" applyFill="1"/>
    <xf numFmtId="165" fontId="0" fillId="22" borderId="10" xfId="1" applyNumberFormat="1" applyFont="1" applyFill="1" applyBorder="1"/>
    <xf numFmtId="165" fontId="0" fillId="0" borderId="10" xfId="1" applyNumberFormat="1" applyFont="1" applyFill="1" applyBorder="1"/>
    <xf numFmtId="165" fontId="0" fillId="22" borderId="12" xfId="1" applyNumberFormat="1" applyFont="1" applyFill="1" applyBorder="1" applyAlignment="1">
      <alignment horizontal="center"/>
    </xf>
    <xf numFmtId="3" fontId="26" fillId="0" borderId="0" xfId="3" applyNumberFormat="1" applyFont="1" applyFill="1" applyBorder="1" applyAlignment="1">
      <alignment horizontal="center" vertical="center" wrapText="1"/>
    </xf>
    <xf numFmtId="165" fontId="0" fillId="22" borderId="14" xfId="1" applyNumberFormat="1" applyFont="1" applyFill="1" applyBorder="1" applyAlignment="1">
      <alignment horizontal="center"/>
    </xf>
    <xf numFmtId="165" fontId="0" fillId="22" borderId="15" xfId="1" applyNumberFormat="1" applyFont="1" applyFill="1" applyBorder="1" applyAlignment="1">
      <alignment horizontal="center"/>
    </xf>
    <xf numFmtId="170" fontId="24" fillId="0" borderId="17" xfId="1" applyNumberFormat="1" applyFont="1" applyFill="1" applyBorder="1" applyAlignment="1">
      <alignment horizontal="center" vertical="center"/>
    </xf>
    <xf numFmtId="0" fontId="0" fillId="0" borderId="10" xfId="0" applyBorder="1"/>
    <xf numFmtId="0" fontId="24" fillId="0" borderId="10" xfId="1" applyNumberFormat="1" applyFont="1" applyFill="1" applyBorder="1" applyAlignment="1">
      <alignment horizontal="center" vertical="center"/>
    </xf>
    <xf numFmtId="170" fontId="24" fillId="0" borderId="10" xfId="1" applyNumberFormat="1" applyFont="1" applyFill="1" applyBorder="1" applyAlignment="1">
      <alignment horizontal="right" vertical="center"/>
    </xf>
    <xf numFmtId="41" fontId="34" fillId="0" borderId="10" xfId="67" applyFont="1" applyFill="1" applyBorder="1" applyAlignment="1">
      <alignment horizontal="right"/>
    </xf>
    <xf numFmtId="0" fontId="24" fillId="0" borderId="10" xfId="1" applyNumberFormat="1" applyFont="1" applyFill="1" applyBorder="1" applyAlignment="1">
      <alignment horizontal="right" vertical="center"/>
    </xf>
    <xf numFmtId="3" fontId="24" fillId="0" borderId="10" xfId="1" applyNumberFormat="1" applyFont="1" applyFill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10" xfId="47" applyFont="1" applyBorder="1" applyAlignment="1">
      <alignment horizontal="center" vertical="center"/>
    </xf>
    <xf numFmtId="14" fontId="24" fillId="0" borderId="10" xfId="47" applyNumberFormat="1" applyFont="1" applyBorder="1" applyAlignment="1">
      <alignment horizontal="center" vertical="center"/>
    </xf>
    <xf numFmtId="165" fontId="24" fillId="0" borderId="10" xfId="41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48" applyFont="1" applyBorder="1" applyAlignment="1">
      <alignment horizontal="left" wrapText="1"/>
    </xf>
    <xf numFmtId="0" fontId="24" fillId="0" borderId="10" xfId="48" applyFont="1" applyBorder="1"/>
    <xf numFmtId="168" fontId="0" fillId="0" borderId="10" xfId="0" applyNumberFormat="1" applyBorder="1" applyAlignment="1">
      <alignment horizontal="center"/>
    </xf>
    <xf numFmtId="0" fontId="0" fillId="0" borderId="10" xfId="66" applyFont="1" applyBorder="1"/>
    <xf numFmtId="0" fontId="0" fillId="0" borderId="0" xfId="48" applyFont="1"/>
    <xf numFmtId="0" fontId="0" fillId="0" borderId="10" xfId="65" applyFont="1" applyBorder="1"/>
    <xf numFmtId="0" fontId="1" fillId="0" borderId="10" xfId="66" applyBorder="1"/>
    <xf numFmtId="3" fontId="0" fillId="0" borderId="10" xfId="0" applyNumberFormat="1" applyBorder="1" applyAlignment="1">
      <alignment horizontal="center"/>
    </xf>
    <xf numFmtId="0" fontId="1" fillId="0" borderId="12" xfId="48" applyBorder="1"/>
    <xf numFmtId="0" fontId="34" fillId="0" borderId="10" xfId="0" applyFont="1" applyBorder="1" applyAlignment="1">
      <alignment horizontal="center"/>
    </xf>
    <xf numFmtId="0" fontId="34" fillId="0" borderId="10" xfId="0" applyFont="1" applyBorder="1" applyAlignment="1">
      <alignment horizontal="right"/>
    </xf>
    <xf numFmtId="0" fontId="0" fillId="0" borderId="12" xfId="0" applyBorder="1"/>
    <xf numFmtId="0" fontId="24" fillId="0" borderId="11" xfId="47" applyFont="1" applyBorder="1" applyAlignment="1">
      <alignment horizontal="center"/>
    </xf>
    <xf numFmtId="0" fontId="26" fillId="21" borderId="10" xfId="3" applyFont="1" applyFill="1" applyBorder="1" applyAlignment="1">
      <alignment horizontal="center" vertical="center"/>
    </xf>
    <xf numFmtId="0" fontId="26" fillId="21" borderId="14" xfId="3" applyFont="1" applyFill="1" applyBorder="1" applyAlignment="1">
      <alignment horizontal="center" vertical="center" wrapText="1"/>
    </xf>
    <xf numFmtId="0" fontId="26" fillId="21" borderId="15" xfId="3" applyFont="1" applyFill="1" applyBorder="1" applyAlignment="1">
      <alignment horizontal="center" vertical="center" wrapText="1"/>
    </xf>
    <xf numFmtId="0" fontId="26" fillId="21" borderId="14" xfId="3" applyFont="1" applyFill="1" applyBorder="1" applyAlignment="1">
      <alignment horizontal="center" vertical="center"/>
    </xf>
    <xf numFmtId="0" fontId="26" fillId="21" borderId="15" xfId="3" applyFont="1" applyFill="1" applyBorder="1" applyAlignment="1">
      <alignment horizontal="center" vertical="center"/>
    </xf>
    <xf numFmtId="0" fontId="26" fillId="21" borderId="10" xfId="3" applyFont="1" applyFill="1" applyBorder="1" applyAlignment="1">
      <alignment horizontal="center" vertical="center" wrapText="1"/>
    </xf>
    <xf numFmtId="1" fontId="26" fillId="21" borderId="12" xfId="3" applyNumberFormat="1" applyFont="1" applyFill="1" applyBorder="1" applyAlignment="1">
      <alignment horizontal="center" vertical="center" wrapText="1"/>
    </xf>
    <xf numFmtId="1" fontId="26" fillId="21" borderId="11" xfId="3" applyNumberFormat="1" applyFont="1" applyFill="1" applyBorder="1" applyAlignment="1">
      <alignment horizontal="center" vertical="center" wrapText="1"/>
    </xf>
    <xf numFmtId="0" fontId="36" fillId="21" borderId="10" xfId="3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10" fontId="26" fillId="21" borderId="10" xfId="3" applyNumberFormat="1" applyFont="1" applyFill="1" applyBorder="1" applyAlignment="1">
      <alignment horizontal="center" vertical="center" wrapText="1"/>
    </xf>
    <xf numFmtId="0" fontId="35" fillId="21" borderId="10" xfId="3" applyFont="1" applyFill="1" applyBorder="1" applyAlignment="1">
      <alignment horizontal="center" vertical="center" wrapText="1"/>
    </xf>
    <xf numFmtId="1" fontId="26" fillId="21" borderId="10" xfId="3" applyNumberFormat="1" applyFont="1" applyFill="1" applyBorder="1" applyAlignment="1">
      <alignment horizontal="center" vertical="center" wrapText="1"/>
    </xf>
    <xf numFmtId="0" fontId="33" fillId="21" borderId="14" xfId="0" applyFont="1" applyFill="1" applyBorder="1" applyAlignment="1">
      <alignment horizontal="center"/>
    </xf>
    <xf numFmtId="0" fontId="33" fillId="21" borderId="15" xfId="0" applyFont="1" applyFill="1" applyBorder="1" applyAlignment="1">
      <alignment horizontal="center"/>
    </xf>
    <xf numFmtId="0" fontId="0" fillId="23" borderId="12" xfId="0" applyFill="1" applyBorder="1" applyAlignment="1">
      <alignment horizontal="left"/>
    </xf>
    <xf numFmtId="0" fontId="0" fillId="23" borderId="13" xfId="0" applyFill="1" applyBorder="1" applyAlignment="1">
      <alignment horizontal="left"/>
    </xf>
    <xf numFmtId="0" fontId="0" fillId="23" borderId="11" xfId="0" applyFill="1" applyBorder="1" applyAlignment="1">
      <alignment horizontal="left"/>
    </xf>
    <xf numFmtId="0" fontId="32" fillId="19" borderId="18" xfId="0" applyFont="1" applyFill="1" applyBorder="1" applyAlignment="1">
      <alignment horizontal="center" vertical="center"/>
    </xf>
    <xf numFmtId="0" fontId="32" fillId="19" borderId="19" xfId="0" applyFont="1" applyFill="1" applyBorder="1" applyAlignment="1">
      <alignment horizontal="center" vertical="center"/>
    </xf>
    <xf numFmtId="0" fontId="25" fillId="21" borderId="10" xfId="64" applyFont="1" applyFill="1" applyBorder="1" applyAlignment="1">
      <alignment horizontal="center" vertical="center"/>
    </xf>
    <xf numFmtId="0" fontId="25" fillId="21" borderId="10" xfId="64" applyFont="1" applyFill="1" applyBorder="1" applyAlignment="1">
      <alignment horizontal="center" vertical="center" wrapText="1"/>
    </xf>
    <xf numFmtId="3" fontId="25" fillId="21" borderId="12" xfId="64" applyNumberFormat="1" applyFont="1" applyFill="1" applyBorder="1" applyAlignment="1">
      <alignment horizontal="center" vertical="center" wrapText="1"/>
    </xf>
    <xf numFmtId="3" fontId="25" fillId="21" borderId="11" xfId="64" applyNumberFormat="1" applyFont="1" applyFill="1" applyBorder="1" applyAlignment="1">
      <alignment horizontal="center" vertical="center" wrapText="1"/>
    </xf>
    <xf numFmtId="0" fontId="30" fillId="21" borderId="10" xfId="0" applyFont="1" applyFill="1" applyBorder="1" applyAlignment="1">
      <alignment horizontal="center" vertical="center" wrapText="1"/>
    </xf>
  </cellXfs>
  <cellStyles count="68">
    <cellStyle name="20% - Énfasis1 2" xfId="5" xr:uid="{00000000-0005-0000-0000-000000000000}"/>
    <cellStyle name="20% - Énfasis2 2" xfId="6" xr:uid="{00000000-0005-0000-0000-000001000000}"/>
    <cellStyle name="20% - Énfasis3 2" xfId="7" xr:uid="{00000000-0005-0000-0000-000002000000}"/>
    <cellStyle name="20% - Énfasis4 2" xfId="8" xr:uid="{00000000-0005-0000-0000-000003000000}"/>
    <cellStyle name="20% - Énfasis5 2" xfId="9" xr:uid="{00000000-0005-0000-0000-000004000000}"/>
    <cellStyle name="20% - Énfasis6 2" xfId="10" xr:uid="{00000000-0005-0000-0000-000005000000}"/>
    <cellStyle name="40% - Énfasis1 2" xfId="11" xr:uid="{00000000-0005-0000-0000-000006000000}"/>
    <cellStyle name="40% - Énfasis2 2" xfId="12" xr:uid="{00000000-0005-0000-0000-000007000000}"/>
    <cellStyle name="40% - Énfasis3 2" xfId="13" xr:uid="{00000000-0005-0000-0000-000008000000}"/>
    <cellStyle name="40% - Énfasis4 2" xfId="14" xr:uid="{00000000-0005-0000-0000-000009000000}"/>
    <cellStyle name="40% - Énfasis5 2" xfId="15" xr:uid="{00000000-0005-0000-0000-00000A000000}"/>
    <cellStyle name="40% - Énfasis6 2" xfId="16" xr:uid="{00000000-0005-0000-0000-00000B000000}"/>
    <cellStyle name="60% - Énfasis1 2" xfId="17" xr:uid="{00000000-0005-0000-0000-00000C000000}"/>
    <cellStyle name="60% - Énfasis2 2" xfId="18" xr:uid="{00000000-0005-0000-0000-00000D000000}"/>
    <cellStyle name="60% - Énfasis3 2" xfId="19" xr:uid="{00000000-0005-0000-0000-00000E000000}"/>
    <cellStyle name="60% - Énfasis4 2" xfId="20" xr:uid="{00000000-0005-0000-0000-00000F000000}"/>
    <cellStyle name="60% - Énfasis5 2" xfId="21" xr:uid="{00000000-0005-0000-0000-000010000000}"/>
    <cellStyle name="60% - Énfasis6 2" xfId="22" xr:uid="{00000000-0005-0000-0000-000011000000}"/>
    <cellStyle name="Buena 2" xfId="23" xr:uid="{00000000-0005-0000-0000-000012000000}"/>
    <cellStyle name="Cálculo 2" xfId="24" xr:uid="{00000000-0005-0000-0000-000013000000}"/>
    <cellStyle name="Celda de comprobación 2" xfId="25" xr:uid="{00000000-0005-0000-0000-000014000000}"/>
    <cellStyle name="Celda vinculada 2" xfId="26" xr:uid="{00000000-0005-0000-0000-000015000000}"/>
    <cellStyle name="Encabezado 4 2" xfId="27" xr:uid="{00000000-0005-0000-0000-000016000000}"/>
    <cellStyle name="Énfasis1" xfId="64" builtinId="29"/>
    <cellStyle name="Énfasis1 2" xfId="28" xr:uid="{00000000-0005-0000-0000-000018000000}"/>
    <cellStyle name="Énfasis2 2" xfId="29" xr:uid="{00000000-0005-0000-0000-000019000000}"/>
    <cellStyle name="Énfasis3" xfId="3" builtinId="37"/>
    <cellStyle name="Énfasis3 2" xfId="30" xr:uid="{00000000-0005-0000-0000-00001B000000}"/>
    <cellStyle name="Énfasis3 3" xfId="31" xr:uid="{00000000-0005-0000-0000-00001C000000}"/>
    <cellStyle name="Énfasis4 2" xfId="32" xr:uid="{00000000-0005-0000-0000-00001D000000}"/>
    <cellStyle name="Énfasis5 2" xfId="33" xr:uid="{00000000-0005-0000-0000-00001E000000}"/>
    <cellStyle name="Énfasis6 2" xfId="34" xr:uid="{00000000-0005-0000-0000-00001F000000}"/>
    <cellStyle name="Entrada 2" xfId="35" xr:uid="{00000000-0005-0000-0000-000020000000}"/>
    <cellStyle name="Euro" xfId="36" xr:uid="{00000000-0005-0000-0000-000021000000}"/>
    <cellStyle name="F4" xfId="37" xr:uid="{00000000-0005-0000-0000-000022000000}"/>
    <cellStyle name="F8" xfId="38" xr:uid="{00000000-0005-0000-0000-000023000000}"/>
    <cellStyle name="Incorrecto 2" xfId="39" xr:uid="{00000000-0005-0000-0000-000024000000}"/>
    <cellStyle name="Millares" xfId="1" builtinId="3"/>
    <cellStyle name="Millares [0]" xfId="67" builtinId="6"/>
    <cellStyle name="Millares 2" xfId="41" xr:uid="{00000000-0005-0000-0000-000026000000}"/>
    <cellStyle name="Millares 2 2" xfId="42" xr:uid="{00000000-0005-0000-0000-000027000000}"/>
    <cellStyle name="Millares 2 3" xfId="43" xr:uid="{00000000-0005-0000-0000-000028000000}"/>
    <cellStyle name="Millares 3" xfId="44" xr:uid="{00000000-0005-0000-0000-000029000000}"/>
    <cellStyle name="Millares 4" xfId="45" xr:uid="{00000000-0005-0000-0000-00002A000000}"/>
    <cellStyle name="Millares 5" xfId="40" xr:uid="{00000000-0005-0000-0000-00002B000000}"/>
    <cellStyle name="Neutral 2" xfId="46" xr:uid="{00000000-0005-0000-0000-00002C000000}"/>
    <cellStyle name="Normal" xfId="0" builtinId="0"/>
    <cellStyle name="Normal 2" xfId="47" xr:uid="{00000000-0005-0000-0000-00002E000000}"/>
    <cellStyle name="Normal 2 2" xfId="48" xr:uid="{00000000-0005-0000-0000-00002F000000}"/>
    <cellStyle name="Normal 2 2 2" xfId="65" xr:uid="{00000000-0005-0000-0000-000030000000}"/>
    <cellStyle name="Normal 2 2 3 2" xfId="66" xr:uid="{00000000-0005-0000-0000-000031000000}"/>
    <cellStyle name="Normal 2 3" xfId="49" xr:uid="{00000000-0005-0000-0000-000032000000}"/>
    <cellStyle name="Normal 3" xfId="50" xr:uid="{00000000-0005-0000-0000-000033000000}"/>
    <cellStyle name="Normal 4" xfId="4" xr:uid="{00000000-0005-0000-0000-000034000000}"/>
    <cellStyle name="Notas 2" xfId="51" xr:uid="{00000000-0005-0000-0000-000035000000}"/>
    <cellStyle name="Porcentaje" xfId="2" builtinId="5"/>
    <cellStyle name="Porcentaje 2" xfId="53" xr:uid="{00000000-0005-0000-0000-000037000000}"/>
    <cellStyle name="Porcentaje 3" xfId="52" xr:uid="{00000000-0005-0000-0000-000038000000}"/>
    <cellStyle name="Porcentual 2" xfId="54" xr:uid="{00000000-0005-0000-0000-000039000000}"/>
    <cellStyle name="Porcentual 2 2" xfId="55" xr:uid="{00000000-0005-0000-0000-00003A000000}"/>
    <cellStyle name="Salida 2" xfId="56" xr:uid="{00000000-0005-0000-0000-00003B000000}"/>
    <cellStyle name="Texto de advertencia 2" xfId="57" xr:uid="{00000000-0005-0000-0000-00003C000000}"/>
    <cellStyle name="Texto explicativo 2" xfId="58" xr:uid="{00000000-0005-0000-0000-00003D000000}"/>
    <cellStyle name="Título 1 2" xfId="59" xr:uid="{00000000-0005-0000-0000-00003E000000}"/>
    <cellStyle name="Título 2 2" xfId="60" xr:uid="{00000000-0005-0000-0000-00003F000000}"/>
    <cellStyle name="Título 3 2" xfId="61" xr:uid="{00000000-0005-0000-0000-000040000000}"/>
    <cellStyle name="Título 4" xfId="62" xr:uid="{00000000-0005-0000-0000-000041000000}"/>
    <cellStyle name="Total 2" xfId="63" xr:uid="{00000000-0005-0000-0000-000042000000}"/>
  </cellStyles>
  <dxfs count="0"/>
  <tableStyles count="0" defaultTableStyle="TableStyleMedium9" defaultPivotStyle="PivotStyleLight16"/>
  <colors>
    <mruColors>
      <color rgb="FF268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SECRETARIA%20GENERAL\ACCIONISTAS\Composici&#243;n%20Accionaria%20al%20mes%20de%20junio%202024%20ordinarias%20+%20preferidas.xlsx" TargetMode="External"/><Relationship Id="rId1" Type="http://schemas.openxmlformats.org/officeDocument/2006/relationships/externalLinkPath" Target="/SECRETARIA%20GENERAL/ACCIONISTAS/Composici&#243;n%20Accionaria%20al%20mes%20de%20junio%202024%20ordinarias%20+%20preferi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GISTRO GENERAL"/>
      <sheetName val="REGISTRO GRUPO FAMILIAR"/>
      <sheetName val="Hoja2"/>
      <sheetName val="Hoja1"/>
    </sheetNames>
    <sheetDataSet>
      <sheetData sheetId="0">
        <row r="4">
          <cell r="A4">
            <v>1</v>
          </cell>
          <cell r="B4">
            <v>1045</v>
          </cell>
          <cell r="C4">
            <v>2024</v>
          </cell>
          <cell r="D4">
            <v>6</v>
          </cell>
          <cell r="E4" t="str">
            <v>Burró Gustale, Felipe Pascual</v>
          </cell>
          <cell r="F4">
            <v>2</v>
          </cell>
          <cell r="G4">
            <v>1</v>
          </cell>
          <cell r="H4">
            <v>248928</v>
          </cell>
          <cell r="I4">
            <v>1</v>
          </cell>
          <cell r="J4">
            <v>249</v>
          </cell>
          <cell r="K4">
            <v>248.928</v>
          </cell>
          <cell r="L4">
            <v>72</v>
          </cell>
          <cell r="M4" t="str">
            <v>Hno de Viviana y Silvia</v>
          </cell>
          <cell r="N4" t="str">
            <v>FISICA</v>
          </cell>
          <cell r="O4" t="str">
            <v>CI</v>
          </cell>
          <cell r="P4">
            <v>734707</v>
          </cell>
          <cell r="Q4" t="str">
            <v>PY</v>
          </cell>
          <cell r="R4">
            <v>26644</v>
          </cell>
          <cell r="S4" t="str">
            <v>PY</v>
          </cell>
          <cell r="T4">
            <v>100000</v>
          </cell>
          <cell r="U4" t="str">
            <v>OVM</v>
          </cell>
          <cell r="V4">
            <v>5</v>
          </cell>
          <cell r="W4"/>
          <cell r="X4">
            <v>0.17671713672349754</v>
          </cell>
          <cell r="Y4">
            <v>248928</v>
          </cell>
          <cell r="Z4">
            <v>1244640</v>
          </cell>
          <cell r="AA4">
            <v>0</v>
          </cell>
        </row>
        <row r="5">
          <cell r="A5">
            <v>2</v>
          </cell>
          <cell r="B5">
            <v>1045</v>
          </cell>
          <cell r="C5">
            <v>2024</v>
          </cell>
          <cell r="D5">
            <v>6</v>
          </cell>
          <cell r="E5" t="str">
            <v>Burró Gustale, María Viviana</v>
          </cell>
          <cell r="F5">
            <v>2</v>
          </cell>
          <cell r="G5">
            <v>248929</v>
          </cell>
          <cell r="H5">
            <v>380213</v>
          </cell>
          <cell r="I5">
            <v>249</v>
          </cell>
          <cell r="J5">
            <v>381</v>
          </cell>
          <cell r="K5">
            <v>380.21300000000002</v>
          </cell>
          <cell r="L5">
            <v>787</v>
          </cell>
          <cell r="M5" t="str">
            <v>Hna de Sr Felipe y Silvia</v>
          </cell>
          <cell r="N5" t="str">
            <v>FISICA</v>
          </cell>
          <cell r="O5" t="str">
            <v>CI</v>
          </cell>
          <cell r="P5">
            <v>831162</v>
          </cell>
          <cell r="Q5" t="str">
            <v>PY</v>
          </cell>
          <cell r="R5">
            <v>27155</v>
          </cell>
          <cell r="S5" t="str">
            <v>PY</v>
          </cell>
          <cell r="T5">
            <v>100000</v>
          </cell>
          <cell r="U5" t="str">
            <v>OVM</v>
          </cell>
          <cell r="V5">
            <v>5</v>
          </cell>
          <cell r="W5"/>
          <cell r="X5">
            <v>9.3200882563409401E-2</v>
          </cell>
          <cell r="Y5">
            <v>131285</v>
          </cell>
          <cell r="Z5">
            <v>656425</v>
          </cell>
          <cell r="AA5">
            <v>0</v>
          </cell>
        </row>
        <row r="6">
          <cell r="A6">
            <v>3</v>
          </cell>
          <cell r="B6">
            <v>1045</v>
          </cell>
          <cell r="C6">
            <v>2024</v>
          </cell>
          <cell r="D6">
            <v>6</v>
          </cell>
          <cell r="E6" t="str">
            <v>Burró Gustale, María Silvia</v>
          </cell>
          <cell r="F6">
            <v>2</v>
          </cell>
          <cell r="G6">
            <v>380214</v>
          </cell>
          <cell r="H6">
            <v>501154</v>
          </cell>
          <cell r="I6">
            <v>381</v>
          </cell>
          <cell r="J6">
            <v>502</v>
          </cell>
          <cell r="K6">
            <v>501.154</v>
          </cell>
          <cell r="L6">
            <v>846</v>
          </cell>
          <cell r="M6" t="str">
            <v>Hna de Sr Felipe y Viviana</v>
          </cell>
          <cell r="N6" t="str">
            <v>FISICA</v>
          </cell>
          <cell r="O6" t="str">
            <v>CI</v>
          </cell>
          <cell r="P6">
            <v>1003307</v>
          </cell>
          <cell r="Q6" t="str">
            <v>PY</v>
          </cell>
          <cell r="R6">
            <v>28374</v>
          </cell>
          <cell r="S6" t="str">
            <v>PY</v>
          </cell>
          <cell r="T6">
            <v>100000</v>
          </cell>
          <cell r="U6" t="str">
            <v>OVM</v>
          </cell>
          <cell r="V6">
            <v>5</v>
          </cell>
          <cell r="W6"/>
          <cell r="X6">
            <v>8.5857546087529393E-2</v>
          </cell>
          <cell r="Y6">
            <v>120941</v>
          </cell>
          <cell r="Z6">
            <v>604705</v>
          </cell>
          <cell r="AA6">
            <v>0</v>
          </cell>
        </row>
        <row r="7">
          <cell r="A7">
            <v>5</v>
          </cell>
          <cell r="B7">
            <v>1045</v>
          </cell>
          <cell r="C7">
            <v>2024</v>
          </cell>
          <cell r="D7">
            <v>12</v>
          </cell>
          <cell r="E7" t="str">
            <v>Grupo F56 S.A.</v>
          </cell>
          <cell r="F7">
            <v>0</v>
          </cell>
          <cell r="G7">
            <v>501155</v>
          </cell>
          <cell r="H7">
            <v>563291</v>
          </cell>
          <cell r="I7">
            <v>502</v>
          </cell>
          <cell r="J7">
            <v>564</v>
          </cell>
          <cell r="K7">
            <v>563.29100000000005</v>
          </cell>
          <cell r="L7">
            <v>709</v>
          </cell>
          <cell r="M7"/>
          <cell r="N7" t="str">
            <v>JURIDICA</v>
          </cell>
          <cell r="O7" t="str">
            <v>RUC</v>
          </cell>
          <cell r="P7" t="str">
            <v>80132636-2</v>
          </cell>
          <cell r="Q7" t="str">
            <v>PY</v>
          </cell>
          <cell r="R7"/>
          <cell r="S7" t="str">
            <v>PY</v>
          </cell>
          <cell r="T7">
            <v>100000</v>
          </cell>
          <cell r="U7" t="str">
            <v>OVM</v>
          </cell>
          <cell r="V7">
            <v>5</v>
          </cell>
          <cell r="W7"/>
          <cell r="X7">
            <v>4.4111842478901396E-2</v>
          </cell>
          <cell r="Y7">
            <v>62137</v>
          </cell>
          <cell r="Z7">
            <v>310685</v>
          </cell>
          <cell r="AA7">
            <v>0</v>
          </cell>
        </row>
        <row r="8">
          <cell r="A8">
            <v>6</v>
          </cell>
          <cell r="B8">
            <v>1045</v>
          </cell>
          <cell r="C8">
            <v>2024</v>
          </cell>
          <cell r="D8">
            <v>12</v>
          </cell>
          <cell r="E8" t="str">
            <v>Gómez González, Osvaldo José</v>
          </cell>
          <cell r="F8">
            <v>8</v>
          </cell>
          <cell r="G8">
            <v>563292</v>
          </cell>
          <cell r="H8">
            <v>612813</v>
          </cell>
          <cell r="I8">
            <v>564</v>
          </cell>
          <cell r="J8">
            <v>613</v>
          </cell>
          <cell r="K8">
            <v>612.81299999999999</v>
          </cell>
          <cell r="L8">
            <v>187</v>
          </cell>
          <cell r="M8" t="str">
            <v>Hermano de Sandra, Hugo, Felix y Fernando</v>
          </cell>
          <cell r="N8" t="str">
            <v>FISICA</v>
          </cell>
          <cell r="O8" t="str">
            <v>CI</v>
          </cell>
          <cell r="P8">
            <v>927344</v>
          </cell>
          <cell r="Q8" t="str">
            <v>PY</v>
          </cell>
          <cell r="R8">
            <v>26764</v>
          </cell>
          <cell r="S8" t="str">
            <v>PY</v>
          </cell>
          <cell r="T8">
            <v>100000</v>
          </cell>
          <cell r="U8" t="str">
            <v>OVM</v>
          </cell>
          <cell r="V8">
            <v>5</v>
          </cell>
          <cell r="W8"/>
          <cell r="X8">
            <v>3.5156294369540771E-2</v>
          </cell>
          <cell r="Y8">
            <v>49522</v>
          </cell>
          <cell r="Z8">
            <v>247610</v>
          </cell>
          <cell r="AA8">
            <v>0</v>
          </cell>
        </row>
        <row r="9">
          <cell r="A9">
            <v>7</v>
          </cell>
          <cell r="B9">
            <v>1045</v>
          </cell>
          <cell r="C9">
            <v>2024</v>
          </cell>
          <cell r="D9">
            <v>12</v>
          </cell>
          <cell r="E9" t="str">
            <v>Burró Mujica, Genaro Ramón</v>
          </cell>
          <cell r="F9">
            <v>2</v>
          </cell>
          <cell r="G9">
            <v>612814</v>
          </cell>
          <cell r="H9">
            <v>656607</v>
          </cell>
          <cell r="I9">
            <v>613</v>
          </cell>
          <cell r="J9">
            <v>657</v>
          </cell>
          <cell r="K9">
            <v>656.60699999999997</v>
          </cell>
          <cell r="L9">
            <v>393</v>
          </cell>
          <cell r="M9" t="str">
            <v>Tío de Felipe Burró Gustale</v>
          </cell>
          <cell r="N9" t="str">
            <v>FISICA</v>
          </cell>
          <cell r="O9" t="str">
            <v>CI</v>
          </cell>
          <cell r="P9">
            <v>215077</v>
          </cell>
          <cell r="Q9" t="str">
            <v>PY</v>
          </cell>
          <cell r="R9">
            <v>15725</v>
          </cell>
          <cell r="S9" t="str">
            <v>PY</v>
          </cell>
          <cell r="T9">
            <v>100000</v>
          </cell>
          <cell r="U9" t="str">
            <v>OVM</v>
          </cell>
          <cell r="V9">
            <v>5</v>
          </cell>
          <cell r="W9"/>
          <cell r="X9">
            <v>3.1089914696895694E-2</v>
          </cell>
          <cell r="Y9">
            <v>43794</v>
          </cell>
          <cell r="Z9">
            <v>218970</v>
          </cell>
          <cell r="AA9">
            <v>0</v>
          </cell>
        </row>
        <row r="10">
          <cell r="A10">
            <v>8</v>
          </cell>
          <cell r="B10">
            <v>1045</v>
          </cell>
          <cell r="C10">
            <v>2024</v>
          </cell>
          <cell r="D10">
            <v>12</v>
          </cell>
          <cell r="E10" t="str">
            <v>Díaz Benza Cameron, Cristina</v>
          </cell>
          <cell r="F10">
            <v>3</v>
          </cell>
          <cell r="G10">
            <v>656608</v>
          </cell>
          <cell r="H10">
            <v>690634</v>
          </cell>
          <cell r="I10">
            <v>657</v>
          </cell>
          <cell r="J10">
            <v>691</v>
          </cell>
          <cell r="K10">
            <v>690.63400000000001</v>
          </cell>
          <cell r="L10">
            <v>366</v>
          </cell>
          <cell r="M10" t="str">
            <v>Hna. de Leticia, Fátima, Juan Carlos, José María y Enrique Díaz Benza Cámeron</v>
          </cell>
          <cell r="N10" t="str">
            <v>FISICA</v>
          </cell>
          <cell r="O10" t="str">
            <v>CI</v>
          </cell>
          <cell r="P10">
            <v>916450</v>
          </cell>
          <cell r="Q10" t="str">
            <v>PY</v>
          </cell>
          <cell r="R10">
            <v>14396</v>
          </cell>
          <cell r="S10" t="str">
            <v>PY</v>
          </cell>
          <cell r="T10">
            <v>100000</v>
          </cell>
          <cell r="U10" t="str">
            <v>OVM</v>
          </cell>
          <cell r="V10">
            <v>5</v>
          </cell>
          <cell r="W10"/>
          <cell r="X10">
            <v>2.4156197821420051E-2</v>
          </cell>
          <cell r="Y10">
            <v>34027</v>
          </cell>
          <cell r="Z10">
            <v>170135</v>
          </cell>
          <cell r="AA10">
            <v>0</v>
          </cell>
        </row>
        <row r="11">
          <cell r="A11">
            <v>9</v>
          </cell>
          <cell r="B11">
            <v>1045</v>
          </cell>
          <cell r="C11">
            <v>2024</v>
          </cell>
          <cell r="D11">
            <v>12</v>
          </cell>
          <cell r="E11" t="str">
            <v>Díaz Benza Cameron, Enrique</v>
          </cell>
          <cell r="F11">
            <v>3</v>
          </cell>
          <cell r="G11">
            <v>690635</v>
          </cell>
          <cell r="H11">
            <v>724661</v>
          </cell>
          <cell r="I11">
            <v>691</v>
          </cell>
          <cell r="J11">
            <v>725</v>
          </cell>
          <cell r="K11">
            <v>724.66099999999994</v>
          </cell>
          <cell r="L11">
            <v>339</v>
          </cell>
          <cell r="M11" t="str">
            <v>Hna. de Cristina, Leticia, Fátima, Juan Carlos y José María Díaz Benza Cámeron</v>
          </cell>
          <cell r="N11" t="str">
            <v>FISICA</v>
          </cell>
          <cell r="O11" t="str">
            <v>CI</v>
          </cell>
          <cell r="P11">
            <v>990079</v>
          </cell>
          <cell r="Q11" t="str">
            <v>PY</v>
          </cell>
          <cell r="R11">
            <v>23987</v>
          </cell>
          <cell r="S11" t="str">
            <v>PY</v>
          </cell>
          <cell r="T11">
            <v>100000</v>
          </cell>
          <cell r="U11" t="str">
            <v>OVM</v>
          </cell>
          <cell r="V11">
            <v>5</v>
          </cell>
          <cell r="W11"/>
          <cell r="X11">
            <v>2.4156197821420051E-2</v>
          </cell>
          <cell r="Y11">
            <v>34027</v>
          </cell>
          <cell r="Z11">
            <v>170135</v>
          </cell>
          <cell r="AA11">
            <v>0</v>
          </cell>
        </row>
        <row r="12">
          <cell r="A12">
            <v>10</v>
          </cell>
          <cell r="B12">
            <v>1045</v>
          </cell>
          <cell r="C12">
            <v>2024</v>
          </cell>
          <cell r="D12">
            <v>12</v>
          </cell>
          <cell r="E12" t="str">
            <v>Díaz Benza Cameron, Fátima</v>
          </cell>
          <cell r="F12">
            <v>3</v>
          </cell>
          <cell r="G12">
            <v>724662</v>
          </cell>
          <cell r="H12">
            <v>758688</v>
          </cell>
          <cell r="I12">
            <v>725</v>
          </cell>
          <cell r="J12">
            <v>759</v>
          </cell>
          <cell r="K12">
            <v>758.68799999999999</v>
          </cell>
          <cell r="L12">
            <v>312</v>
          </cell>
          <cell r="M12" t="str">
            <v>Hna. de Cristina, Leticia,  Juan Carlos, José María y Enrique Díaz Benza Cámeron</v>
          </cell>
          <cell r="N12" t="str">
            <v>FISICA</v>
          </cell>
          <cell r="O12" t="str">
            <v>CI</v>
          </cell>
          <cell r="P12">
            <v>1421143</v>
          </cell>
          <cell r="Q12" t="str">
            <v>PY</v>
          </cell>
          <cell r="R12">
            <v>24441</v>
          </cell>
          <cell r="S12" t="str">
            <v>PY</v>
          </cell>
          <cell r="T12">
            <v>100000</v>
          </cell>
          <cell r="U12" t="str">
            <v>OVM</v>
          </cell>
          <cell r="V12">
            <v>5</v>
          </cell>
          <cell r="W12"/>
          <cell r="X12">
            <v>2.4156197821420051E-2</v>
          </cell>
          <cell r="Y12">
            <v>34027</v>
          </cell>
          <cell r="Z12">
            <v>170135</v>
          </cell>
          <cell r="AA12">
            <v>0</v>
          </cell>
        </row>
        <row r="13">
          <cell r="A13">
            <v>11</v>
          </cell>
          <cell r="B13">
            <v>1045</v>
          </cell>
          <cell r="C13">
            <v>2024</v>
          </cell>
          <cell r="D13">
            <v>12</v>
          </cell>
          <cell r="E13" t="str">
            <v>Díaz Benza Cameron, José M.</v>
          </cell>
          <cell r="F13">
            <v>3</v>
          </cell>
          <cell r="G13">
            <v>758689</v>
          </cell>
          <cell r="H13">
            <v>792715</v>
          </cell>
          <cell r="I13">
            <v>759</v>
          </cell>
          <cell r="J13">
            <v>793</v>
          </cell>
          <cell r="K13">
            <v>792.71500000000003</v>
          </cell>
          <cell r="L13">
            <v>285</v>
          </cell>
          <cell r="M13" t="str">
            <v>Hna. de Cristina, Leticia, Fátima, Juan Carlos y Enrique Díaz Benza Cámeron</v>
          </cell>
          <cell r="N13" t="str">
            <v>FISICA</v>
          </cell>
          <cell r="O13" t="str">
            <v>CI</v>
          </cell>
          <cell r="P13">
            <v>990080</v>
          </cell>
          <cell r="Q13" t="str">
            <v>PY</v>
          </cell>
          <cell r="R13">
            <v>27367</v>
          </cell>
          <cell r="S13" t="str">
            <v>PY</v>
          </cell>
          <cell r="T13">
            <v>100000</v>
          </cell>
          <cell r="U13" t="str">
            <v>OVM</v>
          </cell>
          <cell r="V13">
            <v>5</v>
          </cell>
          <cell r="W13"/>
          <cell r="X13">
            <v>2.4156197821420051E-2</v>
          </cell>
          <cell r="Y13">
            <v>34027</v>
          </cell>
          <cell r="Z13">
            <v>170135</v>
          </cell>
          <cell r="AA13">
            <v>0</v>
          </cell>
        </row>
        <row r="14">
          <cell r="A14">
            <v>12</v>
          </cell>
          <cell r="B14">
            <v>1045</v>
          </cell>
          <cell r="C14">
            <v>2024</v>
          </cell>
          <cell r="D14">
            <v>12</v>
          </cell>
          <cell r="E14" t="str">
            <v>Díaz Benza Cameron, Juan C.</v>
          </cell>
          <cell r="F14">
            <v>3</v>
          </cell>
          <cell r="G14">
            <v>792716</v>
          </cell>
          <cell r="H14">
            <v>826742</v>
          </cell>
          <cell r="I14">
            <v>793</v>
          </cell>
          <cell r="J14">
            <v>827</v>
          </cell>
          <cell r="K14">
            <v>826.74199999999996</v>
          </cell>
          <cell r="L14">
            <v>258</v>
          </cell>
          <cell r="M14" t="str">
            <v>Hna. de Cristina, Leticia, Fátima,  José María y Enrique Díaz Benza Cámeron</v>
          </cell>
          <cell r="N14" t="str">
            <v>FISICA</v>
          </cell>
          <cell r="O14" t="str">
            <v>CI</v>
          </cell>
          <cell r="P14">
            <v>1421144</v>
          </cell>
          <cell r="Q14" t="str">
            <v>PY</v>
          </cell>
          <cell r="R14">
            <v>25111</v>
          </cell>
          <cell r="S14" t="str">
            <v>PY</v>
          </cell>
          <cell r="T14">
            <v>100000</v>
          </cell>
          <cell r="U14" t="str">
            <v>OVM</v>
          </cell>
          <cell r="V14">
            <v>5</v>
          </cell>
          <cell r="W14"/>
          <cell r="X14">
            <v>2.4156197821420051E-2</v>
          </cell>
          <cell r="Y14">
            <v>34027</v>
          </cell>
          <cell r="Z14">
            <v>170135</v>
          </cell>
          <cell r="AA14">
            <v>0</v>
          </cell>
        </row>
        <row r="15">
          <cell r="A15">
            <v>13</v>
          </cell>
          <cell r="B15">
            <v>1045</v>
          </cell>
          <cell r="C15">
            <v>2024</v>
          </cell>
          <cell r="D15">
            <v>12</v>
          </cell>
          <cell r="E15" t="str">
            <v>Díaz Benza Cameron, Leticia</v>
          </cell>
          <cell r="F15">
            <v>3</v>
          </cell>
          <cell r="G15">
            <v>826743</v>
          </cell>
          <cell r="H15">
            <v>860769</v>
          </cell>
          <cell r="I15">
            <v>827</v>
          </cell>
          <cell r="J15">
            <v>861</v>
          </cell>
          <cell r="K15">
            <v>860.76900000000001</v>
          </cell>
          <cell r="L15">
            <v>231</v>
          </cell>
          <cell r="M15" t="str">
            <v>Hna. de Cristina,  Fátima, Juan Carlos, José María y Enrique Díaz Benza Cámeron</v>
          </cell>
          <cell r="N15" t="str">
            <v>FISICA</v>
          </cell>
          <cell r="O15" t="str">
            <v>CI</v>
          </cell>
          <cell r="P15">
            <v>916449</v>
          </cell>
          <cell r="Q15" t="str">
            <v>PY</v>
          </cell>
          <cell r="R15">
            <v>27788</v>
          </cell>
          <cell r="S15" t="str">
            <v>PY</v>
          </cell>
          <cell r="T15">
            <v>100000</v>
          </cell>
          <cell r="U15" t="str">
            <v>OVM</v>
          </cell>
          <cell r="V15">
            <v>5</v>
          </cell>
          <cell r="W15"/>
          <cell r="X15">
            <v>2.4156197821420051E-2</v>
          </cell>
          <cell r="Y15">
            <v>34027</v>
          </cell>
          <cell r="Z15">
            <v>170135</v>
          </cell>
          <cell r="AA15">
            <v>0</v>
          </cell>
        </row>
        <row r="16">
          <cell r="A16">
            <v>14</v>
          </cell>
          <cell r="B16">
            <v>1045</v>
          </cell>
          <cell r="C16">
            <v>2024</v>
          </cell>
          <cell r="D16">
            <v>12</v>
          </cell>
          <cell r="E16" t="str">
            <v>Laufer, Jaime</v>
          </cell>
          <cell r="F16">
            <v>0</v>
          </cell>
          <cell r="G16">
            <v>860770</v>
          </cell>
          <cell r="H16">
            <v>893047</v>
          </cell>
          <cell r="I16">
            <v>861</v>
          </cell>
          <cell r="J16">
            <v>894</v>
          </cell>
          <cell r="K16">
            <v>893.04700000000003</v>
          </cell>
          <cell r="L16">
            <v>953</v>
          </cell>
          <cell r="M16"/>
          <cell r="N16" t="str">
            <v>FISICA</v>
          </cell>
          <cell r="O16" t="str">
            <v>CI</v>
          </cell>
          <cell r="P16">
            <v>303311</v>
          </cell>
          <cell r="Q16" t="str">
            <v>AR</v>
          </cell>
          <cell r="R16">
            <v>12082</v>
          </cell>
          <cell r="S16" t="str">
            <v>PY</v>
          </cell>
          <cell r="T16">
            <v>100000</v>
          </cell>
          <cell r="U16" t="str">
            <v>OVM</v>
          </cell>
          <cell r="V16">
            <v>5</v>
          </cell>
          <cell r="W16"/>
          <cell r="X16">
            <v>2.2914560592464703E-2</v>
          </cell>
          <cell r="Y16">
            <v>32278</v>
          </cell>
          <cell r="Z16">
            <v>161390</v>
          </cell>
          <cell r="AA16">
            <v>0</v>
          </cell>
        </row>
        <row r="17">
          <cell r="A17">
            <v>15</v>
          </cell>
          <cell r="B17">
            <v>1045</v>
          </cell>
          <cell r="C17">
            <v>2024</v>
          </cell>
          <cell r="D17">
            <v>12</v>
          </cell>
          <cell r="E17" t="str">
            <v>Gómez González, Félix Guillermo</v>
          </cell>
          <cell r="F17">
            <v>8</v>
          </cell>
          <cell r="G17">
            <v>893048</v>
          </cell>
          <cell r="H17">
            <v>923722</v>
          </cell>
          <cell r="I17">
            <v>894</v>
          </cell>
          <cell r="J17">
            <v>924</v>
          </cell>
          <cell r="K17">
            <v>923.72199999999998</v>
          </cell>
          <cell r="L17">
            <v>278</v>
          </cell>
          <cell r="M17" t="str">
            <v>Hermano de Sandra, Hugo, Osvaldo y Fernando</v>
          </cell>
          <cell r="N17" t="str">
            <v>FISICA</v>
          </cell>
          <cell r="O17" t="str">
            <v>CI</v>
          </cell>
          <cell r="P17">
            <v>927342</v>
          </cell>
          <cell r="Q17" t="str">
            <v>PY</v>
          </cell>
          <cell r="R17">
            <v>25454</v>
          </cell>
          <cell r="S17" t="str">
            <v>PY</v>
          </cell>
          <cell r="T17">
            <v>100000</v>
          </cell>
          <cell r="U17" t="str">
            <v>OVM</v>
          </cell>
          <cell r="V17">
            <v>5</v>
          </cell>
          <cell r="W17"/>
          <cell r="X17">
            <v>2.1776570610752052E-2</v>
          </cell>
          <cell r="Y17">
            <v>30675</v>
          </cell>
          <cell r="Z17">
            <v>153375</v>
          </cell>
          <cell r="AA17">
            <v>0</v>
          </cell>
        </row>
        <row r="18">
          <cell r="A18">
            <v>16</v>
          </cell>
          <cell r="B18">
            <v>1045</v>
          </cell>
          <cell r="C18">
            <v>2024</v>
          </cell>
          <cell r="D18">
            <v>12</v>
          </cell>
          <cell r="E18" t="str">
            <v>Cristaldo S. Óscar Raúl</v>
          </cell>
          <cell r="F18">
            <v>0</v>
          </cell>
          <cell r="G18">
            <v>923723</v>
          </cell>
          <cell r="H18">
            <v>944291</v>
          </cell>
          <cell r="I18">
            <v>924</v>
          </cell>
          <cell r="J18">
            <v>945</v>
          </cell>
          <cell r="K18">
            <v>944.29100000000005</v>
          </cell>
          <cell r="L18">
            <v>709</v>
          </cell>
          <cell r="M18"/>
          <cell r="N18" t="str">
            <v>FISICA</v>
          </cell>
          <cell r="O18" t="str">
            <v>CI</v>
          </cell>
          <cell r="P18">
            <v>1026287</v>
          </cell>
          <cell r="Q18" t="str">
            <v>PY</v>
          </cell>
          <cell r="R18">
            <v>25693</v>
          </cell>
          <cell r="S18" t="str">
            <v>PY</v>
          </cell>
          <cell r="T18">
            <v>100000</v>
          </cell>
          <cell r="U18" t="str">
            <v>OVM</v>
          </cell>
          <cell r="V18">
            <v>5</v>
          </cell>
          <cell r="W18"/>
          <cell r="X18">
            <v>1.4602193346130691E-2</v>
          </cell>
          <cell r="Y18">
            <v>20569</v>
          </cell>
          <cell r="Z18">
            <v>102845</v>
          </cell>
          <cell r="AA18">
            <v>0</v>
          </cell>
        </row>
        <row r="19">
          <cell r="A19">
            <v>17</v>
          </cell>
          <cell r="B19">
            <v>1045</v>
          </cell>
          <cell r="C19">
            <v>2024</v>
          </cell>
          <cell r="D19">
            <v>12</v>
          </cell>
          <cell r="E19" t="str">
            <v>Mujica de Carrón, Daisy Avelina</v>
          </cell>
          <cell r="F19">
            <v>2</v>
          </cell>
          <cell r="G19">
            <v>944292</v>
          </cell>
          <cell r="H19">
            <v>958052</v>
          </cell>
          <cell r="I19">
            <v>945</v>
          </cell>
          <cell r="J19">
            <v>959</v>
          </cell>
          <cell r="K19">
            <v>958.05200000000002</v>
          </cell>
          <cell r="L19">
            <v>948</v>
          </cell>
          <cell r="M19" t="str">
            <v>Prima de Pascual, José y Ramón Burró Mujica.</v>
          </cell>
          <cell r="N19" t="str">
            <v>FISICA</v>
          </cell>
          <cell r="O19" t="str">
            <v>CI</v>
          </cell>
          <cell r="P19">
            <v>460627</v>
          </cell>
          <cell r="Q19" t="str">
            <v>PY</v>
          </cell>
          <cell r="R19">
            <v>20582</v>
          </cell>
          <cell r="S19" t="str">
            <v>PY</v>
          </cell>
          <cell r="T19">
            <v>100000</v>
          </cell>
          <cell r="U19" t="str">
            <v>OVM</v>
          </cell>
          <cell r="V19">
            <v>5</v>
          </cell>
          <cell r="W19"/>
          <cell r="X19">
            <v>9.7691080089505784E-3</v>
          </cell>
          <cell r="Y19">
            <v>13761</v>
          </cell>
          <cell r="Z19">
            <v>68805</v>
          </cell>
          <cell r="AA19">
            <v>0</v>
          </cell>
        </row>
        <row r="20">
          <cell r="A20">
            <v>18</v>
          </cell>
          <cell r="B20">
            <v>1045</v>
          </cell>
          <cell r="C20">
            <v>2024</v>
          </cell>
          <cell r="D20">
            <v>12</v>
          </cell>
          <cell r="E20" t="str">
            <v xml:space="preserve">Levy Leopold, Ricardo Natalio Fred </v>
          </cell>
          <cell r="F20">
            <v>15</v>
          </cell>
          <cell r="G20">
            <v>958053</v>
          </cell>
          <cell r="H20">
            <v>971525</v>
          </cell>
          <cell r="I20">
            <v>959</v>
          </cell>
          <cell r="J20">
            <v>972</v>
          </cell>
          <cell r="K20">
            <v>971.52499999999998</v>
          </cell>
          <cell r="L20">
            <v>475</v>
          </cell>
          <cell r="M20" t="str">
            <v>Padre de Julio Levy y Marcos Levy</v>
          </cell>
          <cell r="N20" t="str">
            <v>FISICA</v>
          </cell>
          <cell r="O20" t="str">
            <v>CI</v>
          </cell>
          <cell r="P20">
            <v>332756</v>
          </cell>
          <cell r="Q20" t="str">
            <v>PY</v>
          </cell>
          <cell r="R20">
            <v>18077</v>
          </cell>
          <cell r="S20" t="str">
            <v>PY</v>
          </cell>
          <cell r="T20">
            <v>100000</v>
          </cell>
          <cell r="U20" t="str">
            <v>OVM</v>
          </cell>
          <cell r="V20">
            <v>5</v>
          </cell>
          <cell r="W20"/>
          <cell r="X20">
            <v>9.5646531650745697E-3</v>
          </cell>
          <cell r="Y20">
            <v>13473</v>
          </cell>
          <cell r="Z20">
            <v>67365</v>
          </cell>
          <cell r="AA20">
            <v>0</v>
          </cell>
        </row>
        <row r="21">
          <cell r="A21">
            <v>19</v>
          </cell>
          <cell r="B21">
            <v>1045</v>
          </cell>
          <cell r="C21">
            <v>2024</v>
          </cell>
          <cell r="D21">
            <v>12</v>
          </cell>
          <cell r="E21" t="str">
            <v>Burró Muller, Birgit</v>
          </cell>
          <cell r="F21">
            <v>2</v>
          </cell>
          <cell r="G21">
            <v>971526</v>
          </cell>
          <cell r="H21">
            <v>984037</v>
          </cell>
          <cell r="I21">
            <v>972</v>
          </cell>
          <cell r="J21">
            <v>985</v>
          </cell>
          <cell r="K21">
            <v>984.03700000000003</v>
          </cell>
          <cell r="L21">
            <v>963</v>
          </cell>
          <cell r="M21" t="str">
            <v>Hija de Ramón Burró Mujica</v>
          </cell>
          <cell r="N21" t="str">
            <v>FISICA</v>
          </cell>
          <cell r="O21" t="str">
            <v>CI</v>
          </cell>
          <cell r="P21">
            <v>3617762</v>
          </cell>
          <cell r="Q21" t="str">
            <v>PY</v>
          </cell>
          <cell r="R21">
            <v>30120</v>
          </cell>
          <cell r="S21" t="str">
            <v>PY</v>
          </cell>
          <cell r="T21">
            <v>100000</v>
          </cell>
          <cell r="U21" t="str">
            <v>OVM</v>
          </cell>
          <cell r="V21">
            <v>5</v>
          </cell>
          <cell r="W21"/>
          <cell r="X21">
            <v>8.8824271061688567E-3</v>
          </cell>
          <cell r="Y21">
            <v>12512</v>
          </cell>
          <cell r="Z21">
            <v>62560</v>
          </cell>
          <cell r="AA21">
            <v>0</v>
          </cell>
        </row>
        <row r="22">
          <cell r="A22">
            <v>20</v>
          </cell>
          <cell r="B22">
            <v>1045</v>
          </cell>
          <cell r="C22">
            <v>2024</v>
          </cell>
          <cell r="D22">
            <v>12</v>
          </cell>
          <cell r="E22" t="str">
            <v>Platina Paraguay S.A.</v>
          </cell>
          <cell r="F22">
            <v>16</v>
          </cell>
          <cell r="G22">
            <v>984038</v>
          </cell>
          <cell r="H22">
            <v>996313</v>
          </cell>
          <cell r="I22">
            <v>985</v>
          </cell>
          <cell r="J22">
            <v>997</v>
          </cell>
          <cell r="K22">
            <v>996.31299999999999</v>
          </cell>
          <cell r="L22">
            <v>687</v>
          </cell>
          <cell r="M22"/>
          <cell r="N22" t="str">
            <v>JURIDICA</v>
          </cell>
          <cell r="O22" t="str">
            <v>RUC</v>
          </cell>
          <cell r="P22">
            <v>80048953</v>
          </cell>
          <cell r="Q22" t="str">
            <v>PY</v>
          </cell>
          <cell r="R22"/>
          <cell r="S22" t="str">
            <v>PY</v>
          </cell>
          <cell r="T22">
            <v>100000</v>
          </cell>
          <cell r="U22" t="str">
            <v>OVM</v>
          </cell>
          <cell r="V22">
            <v>5</v>
          </cell>
          <cell r="W22"/>
          <cell r="X22">
            <v>8.7148877202149044E-3</v>
          </cell>
          <cell r="Y22">
            <v>12276</v>
          </cell>
          <cell r="Z22">
            <v>61380</v>
          </cell>
          <cell r="AA22">
            <v>0</v>
          </cell>
        </row>
        <row r="23">
          <cell r="A23">
            <v>21</v>
          </cell>
          <cell r="B23">
            <v>1045</v>
          </cell>
          <cell r="C23">
            <v>2024</v>
          </cell>
          <cell r="D23">
            <v>12</v>
          </cell>
          <cell r="E23" t="str">
            <v>Szklarkiervicz Kaller, Horacio</v>
          </cell>
          <cell r="F23">
            <v>0</v>
          </cell>
          <cell r="G23">
            <v>996314</v>
          </cell>
          <cell r="H23">
            <v>1008492</v>
          </cell>
          <cell r="I23">
            <v>997</v>
          </cell>
          <cell r="J23">
            <v>1009</v>
          </cell>
          <cell r="K23">
            <v>1008.492</v>
          </cell>
          <cell r="L23">
            <v>508</v>
          </cell>
          <cell r="M23"/>
          <cell r="N23" t="str">
            <v>FISICA</v>
          </cell>
          <cell r="O23" t="str">
            <v>CI</v>
          </cell>
          <cell r="P23">
            <v>1206561</v>
          </cell>
          <cell r="Q23" t="str">
            <v>PY</v>
          </cell>
          <cell r="R23">
            <v>28328</v>
          </cell>
          <cell r="S23" t="str">
            <v>PY</v>
          </cell>
          <cell r="T23">
            <v>100000</v>
          </cell>
          <cell r="U23" t="str">
            <v>OVM</v>
          </cell>
          <cell r="V23">
            <v>5</v>
          </cell>
          <cell r="W23"/>
          <cell r="X23">
            <v>8.6460261929372211E-3</v>
          </cell>
          <cell r="Y23">
            <v>12179</v>
          </cell>
          <cell r="Z23">
            <v>60895</v>
          </cell>
          <cell r="AA23">
            <v>0</v>
          </cell>
        </row>
        <row r="24">
          <cell r="A24">
            <v>22</v>
          </cell>
          <cell r="B24">
            <v>1045</v>
          </cell>
          <cell r="C24">
            <v>2024</v>
          </cell>
          <cell r="D24">
            <v>12</v>
          </cell>
          <cell r="E24" t="str">
            <v>Urbieta de Burró, María Elizabeth</v>
          </cell>
          <cell r="F24">
            <v>2</v>
          </cell>
          <cell r="G24">
            <v>1008493</v>
          </cell>
          <cell r="H24">
            <v>1020300</v>
          </cell>
          <cell r="I24">
            <v>1009</v>
          </cell>
          <cell r="J24">
            <v>1021</v>
          </cell>
          <cell r="K24">
            <v>1020.3</v>
          </cell>
          <cell r="L24">
            <v>700</v>
          </cell>
          <cell r="M24" t="str">
            <v>Tía de Felipe Burró Gustale</v>
          </cell>
          <cell r="N24" t="str">
            <v>FISICA</v>
          </cell>
          <cell r="O24" t="str">
            <v>CI</v>
          </cell>
          <cell r="P24">
            <v>281312</v>
          </cell>
          <cell r="Q24" t="str">
            <v>PY</v>
          </cell>
          <cell r="R24">
            <v>16950</v>
          </cell>
          <cell r="S24" t="str">
            <v>PY</v>
          </cell>
          <cell r="T24">
            <v>100000</v>
          </cell>
          <cell r="U24" t="str">
            <v>OVM</v>
          </cell>
          <cell r="V24">
            <v>5</v>
          </cell>
          <cell r="W24"/>
          <cell r="X24">
            <v>8.3826485989163899E-3</v>
          </cell>
          <cell r="Y24">
            <v>11808</v>
          </cell>
          <cell r="Z24">
            <v>59040</v>
          </cell>
          <cell r="AA24">
            <v>0</v>
          </cell>
        </row>
        <row r="25">
          <cell r="A25">
            <v>23</v>
          </cell>
          <cell r="B25">
            <v>1045</v>
          </cell>
          <cell r="C25">
            <v>2024</v>
          </cell>
          <cell r="D25">
            <v>12</v>
          </cell>
          <cell r="E25" t="str">
            <v>Domed de Fariñas, Berta Agustina</v>
          </cell>
          <cell r="F25">
            <v>0</v>
          </cell>
          <cell r="G25">
            <v>1020301</v>
          </cell>
          <cell r="H25">
            <v>1031556</v>
          </cell>
          <cell r="I25">
            <v>1021</v>
          </cell>
          <cell r="J25">
            <v>1032</v>
          </cell>
          <cell r="K25">
            <v>1031.556</v>
          </cell>
          <cell r="L25">
            <v>444</v>
          </cell>
          <cell r="M25"/>
          <cell r="N25" t="str">
            <v>FISICA</v>
          </cell>
          <cell r="O25" t="str">
            <v>CI</v>
          </cell>
          <cell r="P25">
            <v>1238373</v>
          </cell>
          <cell r="Q25" t="str">
            <v>PY</v>
          </cell>
          <cell r="R25">
            <v>25207</v>
          </cell>
          <cell r="S25" t="str">
            <v>PY</v>
          </cell>
          <cell r="T25">
            <v>100000</v>
          </cell>
          <cell r="U25" t="str">
            <v>OVM</v>
          </cell>
          <cell r="V25">
            <v>5</v>
          </cell>
          <cell r="W25"/>
          <cell r="X25">
            <v>7.9907768148207037E-3</v>
          </cell>
          <cell r="Y25">
            <v>11256</v>
          </cell>
          <cell r="Z25">
            <v>56280</v>
          </cell>
          <cell r="AA25">
            <v>0</v>
          </cell>
        </row>
        <row r="26">
          <cell r="A26">
            <v>24</v>
          </cell>
          <cell r="B26">
            <v>1045</v>
          </cell>
          <cell r="C26">
            <v>2024</v>
          </cell>
          <cell r="D26">
            <v>12</v>
          </cell>
          <cell r="E26" t="str">
            <v>Burró Urbieta, Ángel José</v>
          </cell>
          <cell r="F26">
            <v>2</v>
          </cell>
          <cell r="G26">
            <v>1031557</v>
          </cell>
          <cell r="H26">
            <v>1041369</v>
          </cell>
          <cell r="I26">
            <v>1032</v>
          </cell>
          <cell r="J26">
            <v>1042</v>
          </cell>
          <cell r="K26">
            <v>1041.3689999999999</v>
          </cell>
          <cell r="L26">
            <v>631</v>
          </cell>
          <cell r="M26" t="str">
            <v>Primo de Felipe Burró Gustale</v>
          </cell>
          <cell r="N26" t="str">
            <v>FISICA</v>
          </cell>
          <cell r="O26" t="str">
            <v>CI</v>
          </cell>
          <cell r="P26">
            <v>1240189</v>
          </cell>
          <cell r="Q26" t="str">
            <v>PY</v>
          </cell>
          <cell r="R26">
            <v>24451</v>
          </cell>
          <cell r="S26" t="str">
            <v>PY</v>
          </cell>
          <cell r="T26">
            <v>100000</v>
          </cell>
          <cell r="U26" t="str">
            <v>OVM</v>
          </cell>
          <cell r="V26">
            <v>5</v>
          </cell>
          <cell r="W26"/>
          <cell r="X26">
            <v>6.9663728574836156E-3</v>
          </cell>
          <cell r="Y26">
            <v>9813</v>
          </cell>
          <cell r="Z26">
            <v>49065</v>
          </cell>
          <cell r="AA26">
            <v>0</v>
          </cell>
        </row>
        <row r="27">
          <cell r="A27">
            <v>25</v>
          </cell>
          <cell r="B27">
            <v>1045</v>
          </cell>
          <cell r="C27">
            <v>2024</v>
          </cell>
          <cell r="D27">
            <v>12</v>
          </cell>
          <cell r="E27" t="str">
            <v>Kemper Perera, Luis Nessim</v>
          </cell>
          <cell r="F27">
            <v>15</v>
          </cell>
          <cell r="G27">
            <v>1041370</v>
          </cell>
          <cell r="H27">
            <v>1049934</v>
          </cell>
          <cell r="I27">
            <v>1042</v>
          </cell>
          <cell r="J27">
            <v>1050</v>
          </cell>
          <cell r="K27">
            <v>1049.934</v>
          </cell>
          <cell r="L27">
            <v>66</v>
          </cell>
          <cell r="M27" t="str">
            <v>Hno. De Eduardo Kemper</v>
          </cell>
          <cell r="N27" t="str">
            <v>FISICA</v>
          </cell>
          <cell r="O27" t="str">
            <v>CI</v>
          </cell>
          <cell r="P27">
            <v>474506</v>
          </cell>
          <cell r="Q27" t="str">
            <v>PY</v>
          </cell>
          <cell r="R27">
            <v>21948</v>
          </cell>
          <cell r="S27" t="str">
            <v>PY</v>
          </cell>
          <cell r="T27">
            <v>100000</v>
          </cell>
          <cell r="U27" t="str">
            <v>OVM</v>
          </cell>
          <cell r="V27">
            <v>5</v>
          </cell>
          <cell r="W27"/>
          <cell r="X27">
            <v>6.0804018673542405E-3</v>
          </cell>
          <cell r="Y27">
            <v>8565</v>
          </cell>
          <cell r="Z27">
            <v>42825</v>
          </cell>
          <cell r="AA27">
            <v>0</v>
          </cell>
        </row>
        <row r="28">
          <cell r="A28">
            <v>26</v>
          </cell>
          <cell r="B28">
            <v>1045</v>
          </cell>
          <cell r="C28">
            <v>2024</v>
          </cell>
          <cell r="D28">
            <v>12</v>
          </cell>
          <cell r="E28" t="str">
            <v>Kemper Perera, Eduardo Kurt</v>
          </cell>
          <cell r="F28">
            <v>15</v>
          </cell>
          <cell r="G28">
            <v>1049935</v>
          </cell>
          <cell r="H28">
            <v>1058499</v>
          </cell>
          <cell r="I28">
            <v>1050</v>
          </cell>
          <cell r="J28">
            <v>1059</v>
          </cell>
          <cell r="K28">
            <v>1058.499</v>
          </cell>
          <cell r="L28">
            <v>501</v>
          </cell>
          <cell r="M28" t="str">
            <v>Hno. De Luis Kemper</v>
          </cell>
          <cell r="N28" t="str">
            <v>FISICA</v>
          </cell>
          <cell r="O28" t="str">
            <v>CI</v>
          </cell>
          <cell r="P28">
            <v>474508</v>
          </cell>
          <cell r="Q28" t="str">
            <v>PY</v>
          </cell>
          <cell r="R28">
            <v>22795</v>
          </cell>
          <cell r="S28" t="str">
            <v>PY</v>
          </cell>
          <cell r="T28">
            <v>100000</v>
          </cell>
          <cell r="U28" t="str">
            <v>OVM</v>
          </cell>
          <cell r="V28">
            <v>5</v>
          </cell>
          <cell r="W28"/>
          <cell r="X28">
            <v>6.0804018673542405E-3</v>
          </cell>
          <cell r="Y28">
            <v>8565</v>
          </cell>
          <cell r="Z28">
            <v>42825</v>
          </cell>
          <cell r="AA28">
            <v>0</v>
          </cell>
        </row>
        <row r="29">
          <cell r="A29">
            <v>27</v>
          </cell>
          <cell r="B29">
            <v>1045</v>
          </cell>
          <cell r="C29">
            <v>2024</v>
          </cell>
          <cell r="D29">
            <v>12</v>
          </cell>
          <cell r="E29" t="str">
            <v>Recanate Talavera, Porfirio</v>
          </cell>
          <cell r="F29">
            <v>0</v>
          </cell>
          <cell r="G29">
            <v>1058500</v>
          </cell>
          <cell r="H29">
            <v>1065762</v>
          </cell>
          <cell r="I29">
            <v>1059</v>
          </cell>
          <cell r="J29">
            <v>1066</v>
          </cell>
          <cell r="K29">
            <v>1065.7619999999999</v>
          </cell>
          <cell r="L29">
            <v>238</v>
          </cell>
          <cell r="M29"/>
          <cell r="N29" t="str">
            <v>FISICA</v>
          </cell>
          <cell r="O29" t="str">
            <v>CI</v>
          </cell>
          <cell r="P29">
            <v>158907</v>
          </cell>
          <cell r="Q29" t="str">
            <v>PY</v>
          </cell>
          <cell r="R29">
            <v>14131</v>
          </cell>
          <cell r="S29" t="str">
            <v>PY</v>
          </cell>
          <cell r="T29">
            <v>100000</v>
          </cell>
          <cell r="U29" t="str">
            <v>OVM</v>
          </cell>
          <cell r="V29">
            <v>5</v>
          </cell>
          <cell r="W29"/>
          <cell r="X29">
            <v>5.1560955939981149E-3</v>
          </cell>
          <cell r="Y29">
            <v>7263</v>
          </cell>
          <cell r="Z29">
            <v>36315</v>
          </cell>
          <cell r="AA29">
            <v>0</v>
          </cell>
        </row>
        <row r="30">
          <cell r="A30">
            <v>28</v>
          </cell>
          <cell r="B30">
            <v>1045</v>
          </cell>
          <cell r="C30">
            <v>2024</v>
          </cell>
          <cell r="D30">
            <v>12</v>
          </cell>
          <cell r="E30" t="str">
            <v>Tattón Gómez, María Verónica</v>
          </cell>
          <cell r="F30">
            <v>16</v>
          </cell>
          <cell r="G30">
            <v>1065763</v>
          </cell>
          <cell r="H30">
            <v>1072470</v>
          </cell>
          <cell r="I30">
            <v>1066</v>
          </cell>
          <cell r="J30">
            <v>1073</v>
          </cell>
          <cell r="K30">
            <v>1072.47</v>
          </cell>
          <cell r="L30"/>
          <cell r="M30" t="str">
            <v>Hna de Carlos José Tatton</v>
          </cell>
          <cell r="N30" t="str">
            <v>FISICA</v>
          </cell>
          <cell r="O30" t="str">
            <v>CI</v>
          </cell>
          <cell r="P30">
            <v>1362181</v>
          </cell>
          <cell r="Q30" t="str">
            <v>PY</v>
          </cell>
          <cell r="R30">
            <v>28275</v>
          </cell>
          <cell r="S30" t="str">
            <v>PY</v>
          </cell>
          <cell r="T30">
            <v>100000</v>
          </cell>
          <cell r="U30" t="str">
            <v>OVM</v>
          </cell>
          <cell r="V30">
            <v>5</v>
          </cell>
          <cell r="W30"/>
          <cell r="X30">
            <v>4.7620940719453877E-3</v>
          </cell>
          <cell r="Y30">
            <v>6708</v>
          </cell>
          <cell r="Z30">
            <v>33540</v>
          </cell>
          <cell r="AA30">
            <v>0</v>
          </cell>
        </row>
        <row r="31">
          <cell r="A31">
            <v>29</v>
          </cell>
          <cell r="B31">
            <v>1045</v>
          </cell>
          <cell r="C31">
            <v>2024</v>
          </cell>
          <cell r="D31">
            <v>12</v>
          </cell>
          <cell r="E31" t="str">
            <v xml:space="preserve">Vaesken Vda. de Facetti, Zeneida  </v>
          </cell>
          <cell r="F31">
            <v>5</v>
          </cell>
          <cell r="G31">
            <v>1072471</v>
          </cell>
          <cell r="H31">
            <v>1078961</v>
          </cell>
          <cell r="I31">
            <v>1059</v>
          </cell>
          <cell r="J31">
            <v>1079</v>
          </cell>
          <cell r="K31">
            <v>1078.961</v>
          </cell>
          <cell r="L31">
            <v>39</v>
          </cell>
          <cell r="M31" t="str">
            <v>Cuñada de Marta P. de Facetti</v>
          </cell>
          <cell r="N31" t="str">
            <v>FISICA</v>
          </cell>
          <cell r="O31" t="str">
            <v>CI</v>
          </cell>
          <cell r="P31">
            <v>194006</v>
          </cell>
          <cell r="Q31" t="str">
            <v>PY</v>
          </cell>
          <cell r="R31">
            <v>14782</v>
          </cell>
          <cell r="S31" t="str">
            <v>PY</v>
          </cell>
          <cell r="T31">
            <v>100000</v>
          </cell>
          <cell r="U31" t="str">
            <v>OVM</v>
          </cell>
          <cell r="V31">
            <v>5</v>
          </cell>
          <cell r="W31"/>
          <cell r="X31">
            <v>4.6080430263860332E-3</v>
          </cell>
          <cell r="Y31">
            <v>6491</v>
          </cell>
          <cell r="Z31">
            <v>32455</v>
          </cell>
          <cell r="AA31">
            <v>0</v>
          </cell>
        </row>
        <row r="32">
          <cell r="A32">
            <v>30</v>
          </cell>
          <cell r="B32">
            <v>1045</v>
          </cell>
          <cell r="C32">
            <v>2024</v>
          </cell>
          <cell r="D32">
            <v>12</v>
          </cell>
          <cell r="E32" t="str">
            <v>Asrilevich Barnatan, Luis Jaime</v>
          </cell>
          <cell r="F32">
            <v>0</v>
          </cell>
          <cell r="G32">
            <v>1078962</v>
          </cell>
          <cell r="H32">
            <v>1084992</v>
          </cell>
          <cell r="I32">
            <v>1079</v>
          </cell>
          <cell r="J32">
            <v>1085</v>
          </cell>
          <cell r="K32">
            <v>1084.992</v>
          </cell>
          <cell r="L32">
            <v>8</v>
          </cell>
          <cell r="M32"/>
          <cell r="N32" t="str">
            <v>FISICA</v>
          </cell>
          <cell r="O32" t="str">
            <v>CI</v>
          </cell>
          <cell r="P32">
            <v>294175</v>
          </cell>
          <cell r="Q32" t="str">
            <v>PY</v>
          </cell>
          <cell r="R32">
            <v>14526</v>
          </cell>
          <cell r="S32" t="str">
            <v>PY</v>
          </cell>
          <cell r="T32">
            <v>100000</v>
          </cell>
          <cell r="U32" t="str">
            <v>OVM</v>
          </cell>
          <cell r="V32">
            <v>5</v>
          </cell>
          <cell r="W32"/>
          <cell r="X32">
            <v>4.2814832063062958E-3</v>
          </cell>
          <cell r="Y32">
            <v>6031</v>
          </cell>
          <cell r="Z32">
            <v>30155</v>
          </cell>
          <cell r="AA32">
            <v>0</v>
          </cell>
        </row>
        <row r="33">
          <cell r="A33">
            <v>31</v>
          </cell>
          <cell r="B33">
            <v>1045</v>
          </cell>
          <cell r="C33">
            <v>2024</v>
          </cell>
          <cell r="D33">
            <v>12</v>
          </cell>
          <cell r="E33" t="str">
            <v>Aponte de Oxilia, Wanda Lis</v>
          </cell>
          <cell r="F33">
            <v>13</v>
          </cell>
          <cell r="G33">
            <v>1084993</v>
          </cell>
          <cell r="H33">
            <v>1091012</v>
          </cell>
          <cell r="I33">
            <v>1085</v>
          </cell>
          <cell r="J33">
            <v>1092</v>
          </cell>
          <cell r="K33">
            <v>1091.0119999999999</v>
          </cell>
          <cell r="L33">
            <v>988</v>
          </cell>
          <cell r="M33" t="str">
            <v>Madre de Sabrina y Martín Oxilia Aponte</v>
          </cell>
          <cell r="N33" t="str">
            <v>FISICA</v>
          </cell>
          <cell r="O33" t="str">
            <v>CI</v>
          </cell>
          <cell r="P33">
            <v>528887</v>
          </cell>
          <cell r="Q33" t="str">
            <v>PY</v>
          </cell>
          <cell r="R33">
            <v>22837</v>
          </cell>
          <cell r="S33" t="str">
            <v>PY</v>
          </cell>
          <cell r="T33">
            <v>100000</v>
          </cell>
          <cell r="U33" t="str">
            <v>OVM</v>
          </cell>
          <cell r="V33">
            <v>5</v>
          </cell>
          <cell r="W33"/>
          <cell r="X33">
            <v>4.273674167130476E-3</v>
          </cell>
          <cell r="Y33">
            <v>6020</v>
          </cell>
          <cell r="Z33">
            <v>30100</v>
          </cell>
          <cell r="AA33">
            <v>0</v>
          </cell>
        </row>
        <row r="34">
          <cell r="A34">
            <v>32</v>
          </cell>
          <cell r="B34">
            <v>1045</v>
          </cell>
          <cell r="C34">
            <v>2024</v>
          </cell>
          <cell r="D34">
            <v>12</v>
          </cell>
          <cell r="E34" t="str">
            <v>Amigo Marcet, José Ricardo</v>
          </cell>
          <cell r="F34">
            <v>1</v>
          </cell>
          <cell r="G34">
            <v>1091013</v>
          </cell>
          <cell r="H34">
            <v>1096857</v>
          </cell>
          <cell r="I34">
            <v>1092</v>
          </cell>
          <cell r="J34">
            <v>1097</v>
          </cell>
          <cell r="K34">
            <v>1096.857</v>
          </cell>
          <cell r="L34">
            <v>143</v>
          </cell>
          <cell r="M34" t="str">
            <v>Hermano de Raúl, Marta, Ida y Roberto Amigo Marcet</v>
          </cell>
          <cell r="N34" t="str">
            <v>FISICA</v>
          </cell>
          <cell r="O34" t="str">
            <v>CI</v>
          </cell>
          <cell r="P34">
            <v>593546</v>
          </cell>
          <cell r="Q34" t="str">
            <v>PY</v>
          </cell>
          <cell r="R34">
            <v>16537</v>
          </cell>
          <cell r="S34" t="str">
            <v>PY</v>
          </cell>
          <cell r="T34">
            <v>100000</v>
          </cell>
          <cell r="U34" t="str">
            <v>OVM</v>
          </cell>
          <cell r="V34">
            <v>5</v>
          </cell>
          <cell r="W34"/>
          <cell r="X34">
            <v>4.1494394529697064E-3</v>
          </cell>
          <cell r="Y34">
            <v>5845</v>
          </cell>
          <cell r="Z34">
            <v>29225</v>
          </cell>
          <cell r="AA34">
            <v>0</v>
          </cell>
        </row>
        <row r="35">
          <cell r="A35">
            <v>33</v>
          </cell>
          <cell r="B35">
            <v>1045</v>
          </cell>
          <cell r="C35">
            <v>2024</v>
          </cell>
          <cell r="D35">
            <v>12</v>
          </cell>
          <cell r="E35" t="str">
            <v>Amigo Marcet, Raúl Gustavo</v>
          </cell>
          <cell r="F35">
            <v>1</v>
          </cell>
          <cell r="G35">
            <v>1096858</v>
          </cell>
          <cell r="H35">
            <v>1102702</v>
          </cell>
          <cell r="I35">
            <v>1097</v>
          </cell>
          <cell r="J35">
            <v>1103</v>
          </cell>
          <cell r="K35">
            <v>1102.702</v>
          </cell>
          <cell r="L35">
            <v>298</v>
          </cell>
          <cell r="M35" t="str">
            <v>Hermana de Raúl, Ida, Roberto, Marta</v>
          </cell>
          <cell r="N35" t="str">
            <v>FISICA</v>
          </cell>
          <cell r="O35" t="str">
            <v>CI</v>
          </cell>
          <cell r="P35">
            <v>514898</v>
          </cell>
          <cell r="Q35" t="str">
            <v>PY</v>
          </cell>
          <cell r="R35">
            <v>16137</v>
          </cell>
          <cell r="S35" t="str">
            <v>PY</v>
          </cell>
          <cell r="T35">
            <v>100000</v>
          </cell>
          <cell r="U35" t="str">
            <v>OVM</v>
          </cell>
          <cell r="V35">
            <v>5</v>
          </cell>
          <cell r="W35"/>
          <cell r="X35">
            <v>4.1494394529697064E-3</v>
          </cell>
          <cell r="Y35">
            <v>5845</v>
          </cell>
          <cell r="Z35">
            <v>29225</v>
          </cell>
          <cell r="AA35">
            <v>0</v>
          </cell>
        </row>
        <row r="36">
          <cell r="A36">
            <v>34</v>
          </cell>
          <cell r="B36">
            <v>1045</v>
          </cell>
          <cell r="C36">
            <v>2024</v>
          </cell>
          <cell r="D36">
            <v>12</v>
          </cell>
          <cell r="E36" t="str">
            <v>Amigo Marcet, Roberto Daniel</v>
          </cell>
          <cell r="F36">
            <v>1</v>
          </cell>
          <cell r="G36">
            <v>1102703</v>
          </cell>
          <cell r="H36">
            <v>1108547</v>
          </cell>
          <cell r="I36">
            <v>1103</v>
          </cell>
          <cell r="J36">
            <v>1109</v>
          </cell>
          <cell r="K36">
            <v>1108.547</v>
          </cell>
          <cell r="L36">
            <v>453</v>
          </cell>
          <cell r="M36" t="str">
            <v>Hermana de Raúl, Ida, Roberto, José</v>
          </cell>
          <cell r="N36" t="str">
            <v>FISICA</v>
          </cell>
          <cell r="O36" t="str">
            <v>CI</v>
          </cell>
          <cell r="P36">
            <v>320576</v>
          </cell>
          <cell r="Q36" t="str">
            <v>PY</v>
          </cell>
          <cell r="R36">
            <v>20383</v>
          </cell>
          <cell r="S36" t="str">
            <v>PY</v>
          </cell>
          <cell r="T36">
            <v>100000</v>
          </cell>
          <cell r="U36" t="str">
            <v>OVM</v>
          </cell>
          <cell r="V36">
            <v>5</v>
          </cell>
          <cell r="W36"/>
          <cell r="X36">
            <v>4.1494394529697064E-3</v>
          </cell>
          <cell r="Y36">
            <v>5845</v>
          </cell>
          <cell r="Z36">
            <v>29225</v>
          </cell>
          <cell r="AA36">
            <v>0</v>
          </cell>
        </row>
        <row r="37">
          <cell r="A37">
            <v>35</v>
          </cell>
          <cell r="B37">
            <v>1045</v>
          </cell>
          <cell r="C37">
            <v>2024</v>
          </cell>
          <cell r="D37">
            <v>12</v>
          </cell>
          <cell r="E37" t="str">
            <v xml:space="preserve">Amigo de Arbo, Marta Graciela </v>
          </cell>
          <cell r="F37">
            <v>1</v>
          </cell>
          <cell r="G37">
            <v>1108548</v>
          </cell>
          <cell r="H37">
            <v>1114392</v>
          </cell>
          <cell r="I37">
            <v>1109</v>
          </cell>
          <cell r="J37">
            <v>1115</v>
          </cell>
          <cell r="K37">
            <v>1114.3920000000001</v>
          </cell>
          <cell r="L37">
            <v>608</v>
          </cell>
          <cell r="M37" t="str">
            <v>Hermana de Raúl, Marta  Roberto, José</v>
          </cell>
          <cell r="N37" t="str">
            <v>FISICA</v>
          </cell>
          <cell r="O37" t="str">
            <v>CI</v>
          </cell>
          <cell r="P37">
            <v>411812</v>
          </cell>
          <cell r="Q37" t="str">
            <v>PY</v>
          </cell>
          <cell r="R37">
            <v>19706</v>
          </cell>
          <cell r="S37" t="str">
            <v>PY</v>
          </cell>
          <cell r="T37">
            <v>100000</v>
          </cell>
          <cell r="U37" t="str">
            <v>OVM</v>
          </cell>
          <cell r="V37">
            <v>5</v>
          </cell>
          <cell r="W37"/>
          <cell r="X37">
            <v>4.1494394529697064E-3</v>
          </cell>
          <cell r="Y37">
            <v>5845</v>
          </cell>
          <cell r="Z37">
            <v>29225</v>
          </cell>
          <cell r="AA37">
            <v>0</v>
          </cell>
        </row>
        <row r="38">
          <cell r="A38">
            <v>36</v>
          </cell>
          <cell r="B38">
            <v>1045</v>
          </cell>
          <cell r="C38">
            <v>2024</v>
          </cell>
          <cell r="D38">
            <v>12</v>
          </cell>
          <cell r="E38" t="str">
            <v xml:space="preserve">Gómez González, Fernando Rafael </v>
          </cell>
          <cell r="F38">
            <v>8</v>
          </cell>
          <cell r="G38">
            <v>1114393</v>
          </cell>
          <cell r="H38">
            <v>1200371</v>
          </cell>
          <cell r="I38">
            <v>1201</v>
          </cell>
          <cell r="J38">
            <v>1201</v>
          </cell>
          <cell r="K38">
            <v>1200.3710000000001</v>
          </cell>
          <cell r="L38">
            <v>629</v>
          </cell>
          <cell r="M38" t="str">
            <v>Hermano de Sandra, Hugo, Felix y Osvaldo</v>
          </cell>
          <cell r="N38" t="str">
            <v>FISICA</v>
          </cell>
          <cell r="O38" t="str">
            <v>CI</v>
          </cell>
          <cell r="P38">
            <v>927343</v>
          </cell>
          <cell r="Q38" t="str">
            <v>PY</v>
          </cell>
          <cell r="R38">
            <v>27255</v>
          </cell>
          <cell r="S38" t="str">
            <v>PY</v>
          </cell>
          <cell r="T38">
            <v>100000</v>
          </cell>
          <cell r="U38" t="str">
            <v>OVM</v>
          </cell>
          <cell r="V38">
            <v>5</v>
          </cell>
          <cell r="W38">
            <v>5</v>
          </cell>
          <cell r="X38">
            <v>3.6816070150728656E-3</v>
          </cell>
          <cell r="Y38">
            <v>5186</v>
          </cell>
          <cell r="Z38">
            <v>25930</v>
          </cell>
          <cell r="AA38">
            <v>0</v>
          </cell>
        </row>
        <row r="39">
          <cell r="A39">
            <v>37</v>
          </cell>
          <cell r="B39">
            <v>1045</v>
          </cell>
          <cell r="C39">
            <v>2024</v>
          </cell>
          <cell r="D39">
            <v>12</v>
          </cell>
          <cell r="E39" t="str">
            <v>Goldemberg Asrilevich, Jorge Aníbal</v>
          </cell>
          <cell r="F39">
            <v>0</v>
          </cell>
          <cell r="G39">
            <v>1200372</v>
          </cell>
          <cell r="H39">
            <v>1124536</v>
          </cell>
          <cell r="I39">
            <v>1201</v>
          </cell>
          <cell r="J39">
            <v>1125</v>
          </cell>
          <cell r="K39">
            <v>1124.5360000000001</v>
          </cell>
          <cell r="L39">
            <v>464</v>
          </cell>
          <cell r="M39"/>
          <cell r="N39" t="str">
            <v>FISICA</v>
          </cell>
          <cell r="O39" t="str">
            <v>CI</v>
          </cell>
          <cell r="P39">
            <v>234615</v>
          </cell>
          <cell r="Q39" t="str">
            <v>PY</v>
          </cell>
          <cell r="R39">
            <v>15491</v>
          </cell>
          <cell r="S39" t="str">
            <v>PY</v>
          </cell>
          <cell r="T39">
            <v>100000</v>
          </cell>
          <cell r="U39" t="str">
            <v>OVM</v>
          </cell>
          <cell r="V39">
            <v>5</v>
          </cell>
          <cell r="W39"/>
          <cell r="X39">
            <v>3.5197469303376912E-3</v>
          </cell>
          <cell r="Y39">
            <v>4958</v>
          </cell>
          <cell r="Z39">
            <v>24790</v>
          </cell>
          <cell r="AA39">
            <v>0</v>
          </cell>
        </row>
        <row r="40">
          <cell r="A40">
            <v>38</v>
          </cell>
          <cell r="B40">
            <v>1045</v>
          </cell>
          <cell r="C40">
            <v>2024</v>
          </cell>
          <cell r="D40">
            <v>12</v>
          </cell>
          <cell r="E40" t="str">
            <v>Cabezudo Fassanelli, Juan Carlos</v>
          </cell>
          <cell r="F40">
            <v>0</v>
          </cell>
          <cell r="G40">
            <v>1124537</v>
          </cell>
          <cell r="H40">
            <v>1129453</v>
          </cell>
          <cell r="I40">
            <v>1125</v>
          </cell>
          <cell r="J40">
            <v>1130</v>
          </cell>
          <cell r="K40">
            <v>1129.453</v>
          </cell>
          <cell r="L40">
            <v>547</v>
          </cell>
          <cell r="M40"/>
          <cell r="N40" t="str">
            <v>FISICA</v>
          </cell>
          <cell r="O40" t="str">
            <v>CI</v>
          </cell>
          <cell r="P40">
            <v>271841</v>
          </cell>
          <cell r="Q40" t="str">
            <v>PY</v>
          </cell>
          <cell r="R40">
            <v>25688</v>
          </cell>
          <cell r="S40" t="str">
            <v>PY</v>
          </cell>
          <cell r="T40">
            <v>100000</v>
          </cell>
          <cell r="U40" t="str">
            <v>OVM</v>
          </cell>
          <cell r="V40">
            <v>5</v>
          </cell>
          <cell r="W40"/>
          <cell r="X40">
            <v>3.4906405115914538E-3</v>
          </cell>
          <cell r="Y40">
            <v>4917</v>
          </cell>
          <cell r="Z40">
            <v>24585</v>
          </cell>
          <cell r="AA40">
            <v>0</v>
          </cell>
        </row>
        <row r="41">
          <cell r="A41">
            <v>39</v>
          </cell>
          <cell r="B41">
            <v>1045</v>
          </cell>
          <cell r="C41">
            <v>2024</v>
          </cell>
          <cell r="D41">
            <v>12</v>
          </cell>
          <cell r="E41" t="str">
            <v xml:space="preserve">Amigo de Ballasch, Ida Susana </v>
          </cell>
          <cell r="F41">
            <v>1</v>
          </cell>
          <cell r="G41">
            <v>1129454</v>
          </cell>
          <cell r="H41">
            <v>1134276</v>
          </cell>
          <cell r="I41">
            <v>1130</v>
          </cell>
          <cell r="J41">
            <v>1135</v>
          </cell>
          <cell r="K41">
            <v>1134.2760000000001</v>
          </cell>
          <cell r="L41">
            <v>724</v>
          </cell>
          <cell r="M41" t="str">
            <v>Hermano de Marta, Ida, Roberto y José Amigo Marcet</v>
          </cell>
          <cell r="N41" t="str">
            <v>FISICA</v>
          </cell>
          <cell r="O41" t="str">
            <v>CI</v>
          </cell>
          <cell r="P41">
            <v>396401</v>
          </cell>
          <cell r="Q41" t="str">
            <v>PY</v>
          </cell>
          <cell r="R41">
            <v>21751</v>
          </cell>
          <cell r="S41" t="str">
            <v>PY</v>
          </cell>
          <cell r="T41">
            <v>100000</v>
          </cell>
          <cell r="U41" t="str">
            <v>OVM</v>
          </cell>
          <cell r="V41">
            <v>5</v>
          </cell>
          <cell r="W41"/>
          <cell r="X41">
            <v>3.423908722270812E-3</v>
          </cell>
          <cell r="Y41">
            <v>4823</v>
          </cell>
          <cell r="Z41">
            <v>24115</v>
          </cell>
          <cell r="AA41">
            <v>0</v>
          </cell>
        </row>
        <row r="42">
          <cell r="A42">
            <v>40</v>
          </cell>
          <cell r="B42">
            <v>1045</v>
          </cell>
          <cell r="C42">
            <v>2024</v>
          </cell>
          <cell r="D42">
            <v>12</v>
          </cell>
          <cell r="E42" t="str">
            <v>Ruiz de Frutos, Wylma Inés</v>
          </cell>
          <cell r="F42">
            <v>6</v>
          </cell>
          <cell r="G42">
            <v>1134277</v>
          </cell>
          <cell r="H42">
            <v>1138658</v>
          </cell>
          <cell r="I42">
            <v>1130</v>
          </cell>
          <cell r="J42">
            <v>1139</v>
          </cell>
          <cell r="K42">
            <v>1138.6579999999999</v>
          </cell>
          <cell r="L42">
            <v>342</v>
          </cell>
          <cell r="M42" t="str">
            <v>Madre de Pilar, Alexis y Wilma Frutos Ruiz</v>
          </cell>
          <cell r="N42" t="str">
            <v>FISICA</v>
          </cell>
          <cell r="O42" t="str">
            <v>CI</v>
          </cell>
          <cell r="P42">
            <v>181344</v>
          </cell>
          <cell r="Q42" t="str">
            <v>PY</v>
          </cell>
          <cell r="R42">
            <v>9251</v>
          </cell>
          <cell r="S42" t="str">
            <v>PY</v>
          </cell>
          <cell r="T42">
            <v>100000</v>
          </cell>
          <cell r="U42" t="str">
            <v>OVM</v>
          </cell>
          <cell r="V42">
            <v>5</v>
          </cell>
          <cell r="W42"/>
          <cell r="X42">
            <v>3.1108372425856724E-3</v>
          </cell>
          <cell r="Y42">
            <v>4382</v>
          </cell>
          <cell r="Z42">
            <v>21910</v>
          </cell>
          <cell r="AA42">
            <v>0</v>
          </cell>
        </row>
        <row r="43">
          <cell r="A43">
            <v>41</v>
          </cell>
          <cell r="B43">
            <v>1045</v>
          </cell>
          <cell r="C43">
            <v>2024</v>
          </cell>
          <cell r="D43">
            <v>12</v>
          </cell>
          <cell r="E43" t="str">
            <v>Fontclara Sotomayor, Alba Marina</v>
          </cell>
          <cell r="F43">
            <v>2</v>
          </cell>
          <cell r="G43">
            <v>1138659</v>
          </cell>
          <cell r="H43">
            <v>1142863</v>
          </cell>
          <cell r="I43">
            <v>1139</v>
          </cell>
          <cell r="J43">
            <v>1143</v>
          </cell>
          <cell r="K43">
            <v>1142.8630000000001</v>
          </cell>
          <cell r="L43">
            <v>137</v>
          </cell>
          <cell r="M43" t="str">
            <v>Esposa de Felipe Burró Gustale</v>
          </cell>
          <cell r="N43" t="str">
            <v>FISICA</v>
          </cell>
          <cell r="O43" t="str">
            <v>CI</v>
          </cell>
          <cell r="P43">
            <v>954264</v>
          </cell>
          <cell r="Q43" t="str">
            <v>PY</v>
          </cell>
          <cell r="R43">
            <v>26320</v>
          </cell>
          <cell r="S43" t="str">
            <v>PY</v>
          </cell>
          <cell r="T43">
            <v>100000</v>
          </cell>
          <cell r="U43" t="str">
            <v>OVM</v>
          </cell>
          <cell r="V43">
            <v>5</v>
          </cell>
          <cell r="W43"/>
          <cell r="X43">
            <v>2.9851827031202082E-3</v>
          </cell>
          <cell r="Y43">
            <v>4205</v>
          </cell>
          <cell r="Z43">
            <v>21025</v>
          </cell>
          <cell r="AA43">
            <v>0</v>
          </cell>
        </row>
        <row r="44">
          <cell r="A44">
            <v>42</v>
          </cell>
          <cell r="B44">
            <v>1045</v>
          </cell>
          <cell r="C44">
            <v>2024</v>
          </cell>
          <cell r="D44">
            <v>12</v>
          </cell>
          <cell r="E44" t="str">
            <v>Klein de Gulino, Elena Beatriz</v>
          </cell>
          <cell r="F44">
            <v>9</v>
          </cell>
          <cell r="G44">
            <v>1142864</v>
          </cell>
          <cell r="H44">
            <v>1146962</v>
          </cell>
          <cell r="I44">
            <v>1143</v>
          </cell>
          <cell r="J44">
            <v>1147</v>
          </cell>
          <cell r="K44">
            <v>1146.962</v>
          </cell>
          <cell r="L44">
            <v>38</v>
          </cell>
          <cell r="M44" t="str">
            <v>Madre de Rossana, Luis Fernando y Osvaldo Javier Gulino K.</v>
          </cell>
          <cell r="N44" t="str">
            <v>FISICA</v>
          </cell>
          <cell r="O44" t="str">
            <v>CI</v>
          </cell>
          <cell r="P44">
            <v>196661</v>
          </cell>
          <cell r="Q44" t="str">
            <v>PY</v>
          </cell>
          <cell r="R44">
            <v>14550</v>
          </cell>
          <cell r="S44" t="str">
            <v>PY</v>
          </cell>
          <cell r="T44">
            <v>100000</v>
          </cell>
          <cell r="U44" t="str">
            <v>OVM</v>
          </cell>
          <cell r="V44">
            <v>5</v>
          </cell>
          <cell r="W44"/>
          <cell r="X44">
            <v>2.909931961971399E-3</v>
          </cell>
          <cell r="Y44">
            <v>4099</v>
          </cell>
          <cell r="Z44">
            <v>20495</v>
          </cell>
          <cell r="AA44">
            <v>0</v>
          </cell>
        </row>
        <row r="45">
          <cell r="A45">
            <v>43</v>
          </cell>
          <cell r="B45">
            <v>1045</v>
          </cell>
          <cell r="C45">
            <v>2024</v>
          </cell>
          <cell r="D45">
            <v>12</v>
          </cell>
          <cell r="E45" t="str">
            <v>Domaniczky Frutos, Carlos Manuel</v>
          </cell>
          <cell r="F45">
            <v>0</v>
          </cell>
          <cell r="G45">
            <v>1146963</v>
          </cell>
          <cell r="H45">
            <v>1150782</v>
          </cell>
          <cell r="I45">
            <v>1147</v>
          </cell>
          <cell r="J45">
            <v>1151</v>
          </cell>
          <cell r="K45">
            <v>1150.7819999999999</v>
          </cell>
          <cell r="L45">
            <v>218</v>
          </cell>
          <cell r="M45"/>
          <cell r="N45" t="str">
            <v>FISICA</v>
          </cell>
          <cell r="O45" t="str">
            <v>CI</v>
          </cell>
          <cell r="P45">
            <v>234353</v>
          </cell>
          <cell r="Q45" t="str">
            <v>PY</v>
          </cell>
          <cell r="R45">
            <v>19198</v>
          </cell>
          <cell r="S45" t="str">
            <v>PY</v>
          </cell>
          <cell r="T45">
            <v>100000</v>
          </cell>
          <cell r="U45" t="str">
            <v>OVM</v>
          </cell>
          <cell r="V45">
            <v>5</v>
          </cell>
          <cell r="W45"/>
          <cell r="X45">
            <v>2.7118663319665149E-3</v>
          </cell>
          <cell r="Y45">
            <v>3820</v>
          </cell>
          <cell r="Z45">
            <v>19100</v>
          </cell>
          <cell r="AA45">
            <v>0</v>
          </cell>
        </row>
        <row r="46">
          <cell r="A46">
            <v>44</v>
          </cell>
          <cell r="B46">
            <v>1045</v>
          </cell>
          <cell r="C46">
            <v>2024</v>
          </cell>
          <cell r="D46">
            <v>12</v>
          </cell>
          <cell r="E46" t="str">
            <v>Gustale Portillo, Eduardo</v>
          </cell>
          <cell r="F46">
            <v>2</v>
          </cell>
          <cell r="G46">
            <v>1150783</v>
          </cell>
          <cell r="H46">
            <v>1154413</v>
          </cell>
          <cell r="I46">
            <v>1151</v>
          </cell>
          <cell r="J46">
            <v>1155</v>
          </cell>
          <cell r="K46">
            <v>1154.413</v>
          </cell>
          <cell r="L46">
            <v>587</v>
          </cell>
          <cell r="M46" t="str">
            <v>Cuñado de Pascual Burró Mujica y Hno. de Silvia Gustale de Burró</v>
          </cell>
          <cell r="N46" t="str">
            <v>FISICA</v>
          </cell>
          <cell r="O46" t="str">
            <v>CI</v>
          </cell>
          <cell r="P46">
            <v>320345</v>
          </cell>
          <cell r="Q46" t="str">
            <v>PY</v>
          </cell>
          <cell r="R46">
            <v>21264</v>
          </cell>
          <cell r="S46" t="str">
            <v>PY</v>
          </cell>
          <cell r="T46">
            <v>100000</v>
          </cell>
          <cell r="U46" t="str">
            <v>OVM</v>
          </cell>
          <cell r="V46">
            <v>5</v>
          </cell>
          <cell r="W46"/>
          <cell r="X46">
            <v>2.5776928406728837E-3</v>
          </cell>
          <cell r="Y46">
            <v>3631</v>
          </cell>
          <cell r="Z46">
            <v>18155</v>
          </cell>
          <cell r="AA46">
            <v>0</v>
          </cell>
        </row>
        <row r="47">
          <cell r="A47">
            <v>45</v>
          </cell>
          <cell r="B47">
            <v>1045</v>
          </cell>
          <cell r="C47">
            <v>2024</v>
          </cell>
          <cell r="D47">
            <v>12</v>
          </cell>
          <cell r="E47" t="str">
            <v>Figueredo de Moreno, Gloria Marilin</v>
          </cell>
          <cell r="F47">
            <v>0</v>
          </cell>
          <cell r="G47">
            <v>1154414</v>
          </cell>
          <cell r="H47">
            <v>1157677</v>
          </cell>
          <cell r="I47">
            <v>1155</v>
          </cell>
          <cell r="J47">
            <v>1158</v>
          </cell>
          <cell r="K47">
            <v>1157.6769999999999</v>
          </cell>
          <cell r="L47">
            <v>323</v>
          </cell>
          <cell r="M47"/>
          <cell r="N47" t="str">
            <v>FISICA</v>
          </cell>
          <cell r="O47" t="str">
            <v>CI</v>
          </cell>
          <cell r="P47">
            <v>447237</v>
          </cell>
          <cell r="Q47" t="str">
            <v>PY</v>
          </cell>
          <cell r="R47">
            <v>20715</v>
          </cell>
          <cell r="S47" t="str">
            <v>PY</v>
          </cell>
          <cell r="T47">
            <v>100000</v>
          </cell>
          <cell r="U47" t="str">
            <v>OVM</v>
          </cell>
          <cell r="V47">
            <v>5</v>
          </cell>
          <cell r="W47"/>
          <cell r="X47">
            <v>2.317154897261441E-3</v>
          </cell>
          <cell r="Y47">
            <v>3264</v>
          </cell>
          <cell r="Z47">
            <v>16320</v>
          </cell>
          <cell r="AA47">
            <v>0</v>
          </cell>
        </row>
        <row r="48">
          <cell r="A48">
            <v>46</v>
          </cell>
          <cell r="B48">
            <v>1045</v>
          </cell>
          <cell r="C48">
            <v>2024</v>
          </cell>
          <cell r="D48">
            <v>12</v>
          </cell>
          <cell r="E48" t="str">
            <v>Gulino Klein, Rossana Beatriz</v>
          </cell>
          <cell r="F48">
            <v>9</v>
          </cell>
          <cell r="G48">
            <v>1157678</v>
          </cell>
          <cell r="H48">
            <v>1160906</v>
          </cell>
          <cell r="I48">
            <v>1158</v>
          </cell>
          <cell r="J48">
            <v>1161</v>
          </cell>
          <cell r="K48">
            <v>1160.9059999999999</v>
          </cell>
          <cell r="L48">
            <v>94</v>
          </cell>
          <cell r="M48" t="str">
            <v>Hija Salvador Gulino Alfieri y Elena Klein de Gulino</v>
          </cell>
          <cell r="N48" t="str">
            <v>FISICA</v>
          </cell>
          <cell r="O48" t="str">
            <v>CI</v>
          </cell>
          <cell r="P48">
            <v>767977</v>
          </cell>
          <cell r="Q48" t="str">
            <v>PY</v>
          </cell>
          <cell r="R48">
            <v>15335</v>
          </cell>
          <cell r="S48" t="str">
            <v>PY</v>
          </cell>
          <cell r="T48">
            <v>100000</v>
          </cell>
          <cell r="U48" t="str">
            <v>OVM</v>
          </cell>
          <cell r="V48">
            <v>5</v>
          </cell>
          <cell r="W48"/>
          <cell r="X48">
            <v>2.2923079544292868E-3</v>
          </cell>
          <cell r="Y48">
            <v>3229</v>
          </cell>
          <cell r="Z48">
            <v>16145</v>
          </cell>
          <cell r="AA48">
            <v>0</v>
          </cell>
        </row>
        <row r="49">
          <cell r="A49">
            <v>47</v>
          </cell>
          <cell r="B49">
            <v>1045</v>
          </cell>
          <cell r="C49">
            <v>2024</v>
          </cell>
          <cell r="D49">
            <v>12</v>
          </cell>
          <cell r="E49" t="str">
            <v>Gulino Klein, Luís Fernando</v>
          </cell>
          <cell r="F49">
            <v>9</v>
          </cell>
          <cell r="G49">
            <v>1160907</v>
          </cell>
          <cell r="H49">
            <v>1164135</v>
          </cell>
          <cell r="I49">
            <v>1161</v>
          </cell>
          <cell r="J49">
            <v>1165</v>
          </cell>
          <cell r="K49">
            <v>1164.135</v>
          </cell>
          <cell r="L49">
            <v>865</v>
          </cell>
          <cell r="M49" t="str">
            <v>Hijo Salvador Gulino Alfieri y Elena Klein de Gulino</v>
          </cell>
          <cell r="N49" t="str">
            <v>FISICA</v>
          </cell>
          <cell r="O49" t="str">
            <v>CI</v>
          </cell>
          <cell r="P49">
            <v>767978</v>
          </cell>
          <cell r="Q49" t="str">
            <v>PY</v>
          </cell>
          <cell r="R49">
            <v>24582</v>
          </cell>
          <cell r="S49" t="str">
            <v>PY</v>
          </cell>
          <cell r="T49">
            <v>100000</v>
          </cell>
          <cell r="U49" t="str">
            <v>OVM</v>
          </cell>
          <cell r="V49">
            <v>5</v>
          </cell>
          <cell r="W49"/>
          <cell r="X49">
            <v>2.2923079544292868E-3</v>
          </cell>
          <cell r="Y49">
            <v>3229</v>
          </cell>
          <cell r="Z49">
            <v>16145</v>
          </cell>
          <cell r="AA49">
            <v>0</v>
          </cell>
        </row>
        <row r="50">
          <cell r="A50">
            <v>48</v>
          </cell>
          <cell r="B50">
            <v>1045</v>
          </cell>
          <cell r="C50">
            <v>2024</v>
          </cell>
          <cell r="D50">
            <v>12</v>
          </cell>
          <cell r="E50" t="str">
            <v>Díaz Benza Cano, Ana María</v>
          </cell>
          <cell r="F50">
            <v>3</v>
          </cell>
          <cell r="G50">
            <v>1164136</v>
          </cell>
          <cell r="H50">
            <v>1167263</v>
          </cell>
          <cell r="I50">
            <v>1165</v>
          </cell>
          <cell r="J50">
            <v>1168</v>
          </cell>
          <cell r="K50">
            <v>1167.2629999999999</v>
          </cell>
          <cell r="L50">
            <v>737</v>
          </cell>
          <cell r="M50" t="str">
            <v>Tía de los Díaz Benza Cámeron</v>
          </cell>
          <cell r="N50" t="str">
            <v>FISICA</v>
          </cell>
          <cell r="O50" t="str">
            <v>CI</v>
          </cell>
          <cell r="P50">
            <v>217564</v>
          </cell>
          <cell r="Q50" t="str">
            <v>PY</v>
          </cell>
          <cell r="R50">
            <v>23702</v>
          </cell>
          <cell r="S50" t="str">
            <v>PY</v>
          </cell>
          <cell r="T50">
            <v>100000</v>
          </cell>
          <cell r="U50" t="str">
            <v>OVM</v>
          </cell>
          <cell r="V50">
            <v>5</v>
          </cell>
          <cell r="W50"/>
          <cell r="X50">
            <v>2.2206067765422142E-3</v>
          </cell>
          <cell r="Y50">
            <v>3128</v>
          </cell>
          <cell r="Z50">
            <v>15640</v>
          </cell>
          <cell r="AA50">
            <v>0</v>
          </cell>
        </row>
        <row r="51">
          <cell r="A51">
            <v>49</v>
          </cell>
          <cell r="B51">
            <v>1045</v>
          </cell>
          <cell r="C51">
            <v>2024</v>
          </cell>
          <cell r="D51">
            <v>12</v>
          </cell>
          <cell r="E51" t="str">
            <v>Gulino Alfieri, Salvador Óscar</v>
          </cell>
          <cell r="F51">
            <v>9</v>
          </cell>
          <cell r="G51">
            <v>1167264</v>
          </cell>
          <cell r="H51">
            <v>1170391</v>
          </cell>
          <cell r="I51">
            <v>1168</v>
          </cell>
          <cell r="J51">
            <v>1171</v>
          </cell>
          <cell r="K51">
            <v>1170.3910000000001</v>
          </cell>
          <cell r="L51">
            <v>609</v>
          </cell>
          <cell r="M51" t="str">
            <v>Padre de Rossana, Luis Fernando y Osvaldo Javier Gulino K.</v>
          </cell>
          <cell r="N51" t="str">
            <v>FISICA</v>
          </cell>
          <cell r="O51" t="str">
            <v>CI</v>
          </cell>
          <cell r="P51">
            <v>146530</v>
          </cell>
          <cell r="Q51" t="str">
            <v>PY</v>
          </cell>
          <cell r="R51">
            <v>15749</v>
          </cell>
          <cell r="S51" t="str">
            <v>PY</v>
          </cell>
          <cell r="T51">
            <v>100000</v>
          </cell>
          <cell r="U51" t="str">
            <v>OVM</v>
          </cell>
          <cell r="V51">
            <v>5</v>
          </cell>
          <cell r="W51"/>
          <cell r="X51">
            <v>2.2206067765422142E-3</v>
          </cell>
          <cell r="Y51">
            <v>3128</v>
          </cell>
          <cell r="Z51">
            <v>15640</v>
          </cell>
          <cell r="AA51">
            <v>0</v>
          </cell>
        </row>
        <row r="52">
          <cell r="A52">
            <v>50</v>
          </cell>
          <cell r="B52">
            <v>1045</v>
          </cell>
          <cell r="C52">
            <v>2024</v>
          </cell>
          <cell r="D52">
            <v>12</v>
          </cell>
          <cell r="E52" t="str">
            <v>Burró Urbieta, María Alejandra</v>
          </cell>
          <cell r="F52">
            <v>2</v>
          </cell>
          <cell r="G52">
            <v>1170392</v>
          </cell>
          <cell r="H52">
            <v>1173499</v>
          </cell>
          <cell r="I52">
            <v>1171</v>
          </cell>
          <cell r="J52">
            <v>1174</v>
          </cell>
          <cell r="K52">
            <v>1173.499</v>
          </cell>
          <cell r="L52">
            <v>501</v>
          </cell>
          <cell r="M52" t="str">
            <v>Prima de Felipe Burró Gustale</v>
          </cell>
          <cell r="N52" t="str">
            <v>FISICA</v>
          </cell>
          <cell r="O52" t="str">
            <v>CI</v>
          </cell>
          <cell r="P52">
            <v>1041568</v>
          </cell>
          <cell r="Q52" t="str">
            <v>PY</v>
          </cell>
          <cell r="R52">
            <v>24886</v>
          </cell>
          <cell r="S52" t="str">
            <v>PY</v>
          </cell>
          <cell r="T52">
            <v>100000</v>
          </cell>
          <cell r="U52" t="str">
            <v>OVM</v>
          </cell>
          <cell r="V52">
            <v>5</v>
          </cell>
          <cell r="W52"/>
          <cell r="X52">
            <v>2.2064085234952692E-3</v>
          </cell>
          <cell r="Y52">
            <v>3108</v>
          </cell>
          <cell r="Z52">
            <v>15540</v>
          </cell>
          <cell r="AA52">
            <v>0</v>
          </cell>
        </row>
        <row r="53">
          <cell r="A53">
            <v>51</v>
          </cell>
          <cell r="B53">
            <v>1045</v>
          </cell>
          <cell r="C53">
            <v>2024</v>
          </cell>
          <cell r="D53">
            <v>12</v>
          </cell>
          <cell r="E53" t="str">
            <v>Burró Urbieta, MarÍa Inés</v>
          </cell>
          <cell r="F53">
            <v>2</v>
          </cell>
          <cell r="G53">
            <v>1173500</v>
          </cell>
          <cell r="H53">
            <v>1176607</v>
          </cell>
          <cell r="I53">
            <v>1174</v>
          </cell>
          <cell r="J53">
            <v>1177</v>
          </cell>
          <cell r="K53">
            <v>1176.607</v>
          </cell>
          <cell r="L53">
            <v>393</v>
          </cell>
          <cell r="M53" t="str">
            <v>Prima de Felipe Burró Gustale</v>
          </cell>
          <cell r="N53" t="str">
            <v>FISICA</v>
          </cell>
          <cell r="O53" t="str">
            <v>CI</v>
          </cell>
          <cell r="P53">
            <v>1240193</v>
          </cell>
          <cell r="Q53" t="str">
            <v>PY</v>
          </cell>
          <cell r="R53">
            <v>28551</v>
          </cell>
          <cell r="S53" t="str">
            <v>PY</v>
          </cell>
          <cell r="T53">
            <v>100000</v>
          </cell>
          <cell r="U53" t="str">
            <v>OVM</v>
          </cell>
          <cell r="V53">
            <v>5</v>
          </cell>
          <cell r="W53"/>
          <cell r="X53">
            <v>2.2064085234952692E-3</v>
          </cell>
          <cell r="Y53">
            <v>3108</v>
          </cell>
          <cell r="Z53">
            <v>15540</v>
          </cell>
          <cell r="AA53">
            <v>0</v>
          </cell>
        </row>
        <row r="54">
          <cell r="A54">
            <v>52</v>
          </cell>
          <cell r="B54">
            <v>1045</v>
          </cell>
          <cell r="C54">
            <v>2024</v>
          </cell>
          <cell r="D54">
            <v>12</v>
          </cell>
          <cell r="E54" t="str">
            <v>Pecci Miltos, Jorge Daniel</v>
          </cell>
          <cell r="F54">
            <v>12</v>
          </cell>
          <cell r="G54">
            <v>1176608</v>
          </cell>
          <cell r="H54">
            <v>1179621</v>
          </cell>
          <cell r="I54">
            <v>1177</v>
          </cell>
          <cell r="J54">
            <v>1180</v>
          </cell>
          <cell r="K54">
            <v>1179.6210000000001</v>
          </cell>
          <cell r="L54">
            <v>379</v>
          </cell>
          <cell r="M54" t="str">
            <v>Hno de Beatriz Marta, Juan Bautista y Jorge Daniel Pecci M.</v>
          </cell>
          <cell r="N54" t="str">
            <v>FISICA</v>
          </cell>
          <cell r="O54" t="str">
            <v>CI</v>
          </cell>
          <cell r="P54">
            <v>568559</v>
          </cell>
          <cell r="Q54" t="str">
            <v>PY</v>
          </cell>
          <cell r="R54" t="str">
            <v>20//08/1958</v>
          </cell>
          <cell r="S54" t="str">
            <v>PY</v>
          </cell>
          <cell r="T54">
            <v>100000</v>
          </cell>
          <cell r="U54" t="str">
            <v>OVM</v>
          </cell>
          <cell r="V54">
            <v>5</v>
          </cell>
          <cell r="W54"/>
          <cell r="X54">
            <v>2.139676734174627E-3</v>
          </cell>
          <cell r="Y54">
            <v>3014</v>
          </cell>
          <cell r="Z54">
            <v>15070</v>
          </cell>
          <cell r="AA54">
            <v>0</v>
          </cell>
        </row>
        <row r="55">
          <cell r="A55">
            <v>53</v>
          </cell>
          <cell r="B55">
            <v>1045</v>
          </cell>
          <cell r="C55">
            <v>2024</v>
          </cell>
          <cell r="D55">
            <v>12</v>
          </cell>
          <cell r="E55" t="str">
            <v>Pecci Miltos, Juan Baustista</v>
          </cell>
          <cell r="F55">
            <v>12</v>
          </cell>
          <cell r="G55">
            <v>1179622</v>
          </cell>
          <cell r="H55">
            <v>1182635</v>
          </cell>
          <cell r="I55">
            <v>1180</v>
          </cell>
          <cell r="J55">
            <v>1183</v>
          </cell>
          <cell r="K55">
            <v>1182.635</v>
          </cell>
          <cell r="L55">
            <v>365</v>
          </cell>
          <cell r="M55" t="str">
            <v>Hna de Antonio Luís, Juan Bautista y Jorge Daniel Pecci M.</v>
          </cell>
          <cell r="N55" t="str">
            <v>FISICA</v>
          </cell>
          <cell r="O55" t="str">
            <v>CI</v>
          </cell>
          <cell r="P55">
            <v>568561</v>
          </cell>
          <cell r="Q55" t="str">
            <v>PY</v>
          </cell>
          <cell r="R55">
            <v>22395</v>
          </cell>
          <cell r="S55" t="str">
            <v>PY</v>
          </cell>
          <cell r="T55">
            <v>100000</v>
          </cell>
          <cell r="U55" t="str">
            <v>OVM</v>
          </cell>
          <cell r="V55">
            <v>5</v>
          </cell>
          <cell r="W55"/>
          <cell r="X55">
            <v>2.139676734174627E-3</v>
          </cell>
          <cell r="Y55">
            <v>3014</v>
          </cell>
          <cell r="Z55">
            <v>15070</v>
          </cell>
          <cell r="AA55">
            <v>0</v>
          </cell>
        </row>
        <row r="56">
          <cell r="A56">
            <v>54</v>
          </cell>
          <cell r="B56">
            <v>1045</v>
          </cell>
          <cell r="C56">
            <v>2024</v>
          </cell>
          <cell r="D56">
            <v>12</v>
          </cell>
          <cell r="E56" t="str">
            <v xml:space="preserve">Burró Urbieta, María Eugenia </v>
          </cell>
          <cell r="F56">
            <v>2</v>
          </cell>
          <cell r="G56">
            <v>1182636</v>
          </cell>
          <cell r="H56">
            <v>1185630</v>
          </cell>
          <cell r="I56">
            <v>1183</v>
          </cell>
          <cell r="J56">
            <v>1186</v>
          </cell>
          <cell r="K56">
            <v>1185.6300000000001</v>
          </cell>
          <cell r="L56">
            <v>370</v>
          </cell>
          <cell r="M56" t="str">
            <v>Prima de Felipe Burró Gustale</v>
          </cell>
          <cell r="N56" t="str">
            <v>FISICA</v>
          </cell>
          <cell r="O56" t="str">
            <v>CI</v>
          </cell>
          <cell r="P56">
            <v>1240190</v>
          </cell>
          <cell r="Q56" t="str">
            <v>PY</v>
          </cell>
          <cell r="R56">
            <v>26423</v>
          </cell>
          <cell r="S56" t="str">
            <v>PY</v>
          </cell>
          <cell r="T56">
            <v>100000</v>
          </cell>
          <cell r="U56" t="str">
            <v>OVM</v>
          </cell>
          <cell r="V56">
            <v>5</v>
          </cell>
          <cell r="W56"/>
          <cell r="X56">
            <v>2.1261883937800292E-3</v>
          </cell>
          <cell r="Y56">
            <v>2995</v>
          </cell>
          <cell r="Z56">
            <v>14975</v>
          </cell>
          <cell r="AA56">
            <v>0</v>
          </cell>
        </row>
        <row r="57">
          <cell r="A57">
            <v>55</v>
          </cell>
          <cell r="B57">
            <v>1045</v>
          </cell>
          <cell r="C57">
            <v>2024</v>
          </cell>
          <cell r="D57">
            <v>12</v>
          </cell>
          <cell r="E57" t="str">
            <v>Martínez Gaona, María Gazul</v>
          </cell>
          <cell r="F57">
            <v>11</v>
          </cell>
          <cell r="G57">
            <v>1185631</v>
          </cell>
          <cell r="H57">
            <v>1188604</v>
          </cell>
          <cell r="I57">
            <v>1186</v>
          </cell>
          <cell r="J57">
            <v>1189</v>
          </cell>
          <cell r="K57">
            <v>1188.604</v>
          </cell>
          <cell r="L57">
            <v>396</v>
          </cell>
          <cell r="M57" t="str">
            <v xml:space="preserve">Hna de Octavio y Victor. </v>
          </cell>
          <cell r="N57" t="str">
            <v>FISICA</v>
          </cell>
          <cell r="O57" t="str">
            <v>CI</v>
          </cell>
          <cell r="P57">
            <v>507340</v>
          </cell>
          <cell r="Q57" t="str">
            <v>PY</v>
          </cell>
          <cell r="R57">
            <v>25094</v>
          </cell>
          <cell r="S57" t="str">
            <v>PY</v>
          </cell>
          <cell r="T57">
            <v>100000</v>
          </cell>
          <cell r="U57" t="str">
            <v>OVM</v>
          </cell>
          <cell r="V57">
            <v>5</v>
          </cell>
          <cell r="W57"/>
          <cell r="X57">
            <v>2.1112802280807371E-3</v>
          </cell>
          <cell r="Y57">
            <v>2974</v>
          </cell>
          <cell r="Z57">
            <v>14870</v>
          </cell>
          <cell r="AA57">
            <v>0</v>
          </cell>
        </row>
        <row r="58">
          <cell r="A58">
            <v>56</v>
          </cell>
          <cell r="B58">
            <v>1045</v>
          </cell>
          <cell r="C58">
            <v>2024</v>
          </cell>
          <cell r="D58">
            <v>12</v>
          </cell>
          <cell r="E58" t="str">
            <v>Martínez Gaona, Octavio Miguel</v>
          </cell>
          <cell r="F58">
            <v>11</v>
          </cell>
          <cell r="G58">
            <v>1188605</v>
          </cell>
          <cell r="H58">
            <v>1191578</v>
          </cell>
          <cell r="I58">
            <v>1189</v>
          </cell>
          <cell r="J58">
            <v>1192</v>
          </cell>
          <cell r="K58">
            <v>1191.578</v>
          </cell>
          <cell r="L58">
            <v>422</v>
          </cell>
          <cell r="M58" t="str">
            <v>Hno de Maria y Victor</v>
          </cell>
          <cell r="N58" t="str">
            <v>FISICA</v>
          </cell>
          <cell r="O58" t="str">
            <v>CI</v>
          </cell>
          <cell r="P58">
            <v>507668</v>
          </cell>
          <cell r="Q58" t="str">
            <v>PY</v>
          </cell>
          <cell r="R58">
            <v>23836</v>
          </cell>
          <cell r="S58" t="str">
            <v>PY</v>
          </cell>
          <cell r="T58">
            <v>100000</v>
          </cell>
          <cell r="U58" t="str">
            <v>OVM</v>
          </cell>
          <cell r="V58">
            <v>5</v>
          </cell>
          <cell r="W58"/>
          <cell r="X58">
            <v>2.1112802280807371E-3</v>
          </cell>
          <cell r="Y58">
            <v>2974</v>
          </cell>
          <cell r="Z58">
            <v>14870</v>
          </cell>
          <cell r="AA58">
            <v>0</v>
          </cell>
        </row>
        <row r="59">
          <cell r="A59">
            <v>57</v>
          </cell>
          <cell r="B59">
            <v>1045</v>
          </cell>
          <cell r="C59">
            <v>2024</v>
          </cell>
          <cell r="D59">
            <v>12</v>
          </cell>
          <cell r="E59" t="str">
            <v>Martínez Gaona, Victor Juan</v>
          </cell>
          <cell r="F59">
            <v>11</v>
          </cell>
          <cell r="G59">
            <v>1191579</v>
          </cell>
          <cell r="H59">
            <v>1194552</v>
          </cell>
          <cell r="I59">
            <v>1192</v>
          </cell>
          <cell r="J59">
            <v>1195</v>
          </cell>
          <cell r="K59">
            <v>1194.5519999999999</v>
          </cell>
          <cell r="L59">
            <v>448</v>
          </cell>
          <cell r="M59" t="str">
            <v>Hno de Maria y Octavio</v>
          </cell>
          <cell r="N59" t="str">
            <v>FISICA</v>
          </cell>
          <cell r="O59" t="str">
            <v>CI</v>
          </cell>
          <cell r="P59">
            <v>507665</v>
          </cell>
          <cell r="Q59" t="str">
            <v>PY</v>
          </cell>
          <cell r="R59">
            <v>24416</v>
          </cell>
          <cell r="S59" t="str">
            <v>PY</v>
          </cell>
          <cell r="T59">
            <v>100000</v>
          </cell>
          <cell r="U59" t="str">
            <v>OVM</v>
          </cell>
          <cell r="V59">
            <v>5</v>
          </cell>
          <cell r="W59"/>
          <cell r="X59">
            <v>2.1112802280807371E-3</v>
          </cell>
          <cell r="Y59">
            <v>2974</v>
          </cell>
          <cell r="Z59">
            <v>14870</v>
          </cell>
          <cell r="AA59">
            <v>0</v>
          </cell>
        </row>
        <row r="60">
          <cell r="A60">
            <v>58</v>
          </cell>
          <cell r="B60">
            <v>1045</v>
          </cell>
          <cell r="C60">
            <v>2024</v>
          </cell>
          <cell r="D60">
            <v>12</v>
          </cell>
          <cell r="E60" t="str">
            <v>Vargas Vda. de Martínez, María Lilia Noemí</v>
          </cell>
          <cell r="F60">
            <v>10</v>
          </cell>
          <cell r="G60">
            <v>1194553</v>
          </cell>
          <cell r="H60">
            <v>1197510</v>
          </cell>
          <cell r="I60">
            <v>1195</v>
          </cell>
          <cell r="J60">
            <v>1198</v>
          </cell>
          <cell r="K60">
            <v>1197.51</v>
          </cell>
          <cell r="L60">
            <v>490</v>
          </cell>
          <cell r="M60"/>
          <cell r="N60" t="str">
            <v>FISICA</v>
          </cell>
          <cell r="O60" t="str">
            <v>CI</v>
          </cell>
          <cell r="P60">
            <v>107653</v>
          </cell>
          <cell r="Q60" t="str">
            <v>PY</v>
          </cell>
          <cell r="R60">
            <v>23419</v>
          </cell>
          <cell r="S60" t="str">
            <v>PY</v>
          </cell>
          <cell r="T60">
            <v>100000</v>
          </cell>
          <cell r="U60" t="str">
            <v>OVM</v>
          </cell>
          <cell r="V60">
            <v>5</v>
          </cell>
          <cell r="W60"/>
          <cell r="X60">
            <v>2.0999216256431807E-3</v>
          </cell>
          <cell r="Y60">
            <v>2958</v>
          </cell>
          <cell r="Z60">
            <v>14790</v>
          </cell>
          <cell r="AA60">
            <v>0</v>
          </cell>
        </row>
        <row r="61">
          <cell r="A61">
            <v>59</v>
          </cell>
          <cell r="B61">
            <v>1045</v>
          </cell>
          <cell r="C61">
            <v>2024</v>
          </cell>
          <cell r="D61">
            <v>12</v>
          </cell>
          <cell r="E61" t="str">
            <v>Pecci de Callizo, Beatriz Marta</v>
          </cell>
          <cell r="F61">
            <v>12</v>
          </cell>
          <cell r="G61">
            <v>1197511</v>
          </cell>
          <cell r="H61">
            <v>1200371</v>
          </cell>
          <cell r="I61">
            <v>1198</v>
          </cell>
          <cell r="J61">
            <v>1201</v>
          </cell>
          <cell r="K61">
            <v>1200.3710000000001</v>
          </cell>
          <cell r="L61">
            <v>629</v>
          </cell>
          <cell r="M61" t="str">
            <v>Hna de Juan Bautista y Jorge Daniel Pecci M.</v>
          </cell>
          <cell r="N61" t="str">
            <v>FISICA</v>
          </cell>
          <cell r="O61" t="str">
            <v>CI</v>
          </cell>
          <cell r="P61">
            <v>568560</v>
          </cell>
          <cell r="Q61" t="str">
            <v>PY</v>
          </cell>
          <cell r="R61">
            <v>11978</v>
          </cell>
          <cell r="S61" t="str">
            <v>PY</v>
          </cell>
          <cell r="T61">
            <v>100000</v>
          </cell>
          <cell r="U61" t="str">
            <v>OVM</v>
          </cell>
          <cell r="V61">
            <v>5</v>
          </cell>
          <cell r="W61"/>
          <cell r="X61">
            <v>2.0310600983654971E-3</v>
          </cell>
          <cell r="Y61">
            <v>2861</v>
          </cell>
          <cell r="Z61">
            <v>14305</v>
          </cell>
          <cell r="AA61">
            <v>0</v>
          </cell>
        </row>
        <row r="62">
          <cell r="A62">
            <v>60</v>
          </cell>
          <cell r="B62">
            <v>1045</v>
          </cell>
          <cell r="C62">
            <v>2024</v>
          </cell>
          <cell r="D62">
            <v>12</v>
          </cell>
          <cell r="E62" t="str">
            <v>Esculies Burró, Sofia</v>
          </cell>
          <cell r="F62">
            <v>2</v>
          </cell>
          <cell r="G62">
            <v>1200372</v>
          </cell>
          <cell r="H62">
            <v>1202871</v>
          </cell>
          <cell r="I62">
            <v>1201</v>
          </cell>
          <cell r="J62">
            <v>1203</v>
          </cell>
          <cell r="K62">
            <v>1202.8710000000001</v>
          </cell>
          <cell r="L62">
            <v>129</v>
          </cell>
          <cell r="M62" t="str">
            <v>hija de la Sra. Silvia Burró - sobrina del Sr. Felipe</v>
          </cell>
          <cell r="N62" t="str">
            <v>FISICA</v>
          </cell>
          <cell r="O62" t="str">
            <v>CI</v>
          </cell>
          <cell r="P62"/>
          <cell r="Q62" t="str">
            <v>PY</v>
          </cell>
          <cell r="R62"/>
          <cell r="S62" t="str">
            <v>PY</v>
          </cell>
          <cell r="T62">
            <v>100000</v>
          </cell>
          <cell r="U62" t="str">
            <v>OVM</v>
          </cell>
          <cell r="V62">
            <v>5</v>
          </cell>
          <cell r="W62"/>
          <cell r="X62">
            <v>1.7747816308681379E-3</v>
          </cell>
          <cell r="Y62">
            <v>2500</v>
          </cell>
          <cell r="Z62">
            <v>12500</v>
          </cell>
          <cell r="AA62">
            <v>0</v>
          </cell>
        </row>
        <row r="63">
          <cell r="A63">
            <v>61</v>
          </cell>
          <cell r="B63">
            <v>1045</v>
          </cell>
          <cell r="C63">
            <v>2024</v>
          </cell>
          <cell r="D63">
            <v>12</v>
          </cell>
          <cell r="E63" t="str">
            <v>Gómez Casco, Sandra Natalia Carolina</v>
          </cell>
          <cell r="F63">
            <v>7</v>
          </cell>
          <cell r="G63">
            <v>1202872</v>
          </cell>
          <cell r="H63">
            <v>1205355</v>
          </cell>
          <cell r="I63">
            <v>1203</v>
          </cell>
          <cell r="J63">
            <v>1206</v>
          </cell>
          <cell r="K63">
            <v>1205.355</v>
          </cell>
          <cell r="L63">
            <v>645</v>
          </cell>
          <cell r="M63" t="str">
            <v xml:space="preserve">Hermana de Osvaldo Gomez </v>
          </cell>
          <cell r="N63" t="str">
            <v>FISICA</v>
          </cell>
          <cell r="O63" t="str">
            <v>CI</v>
          </cell>
          <cell r="P63">
            <v>1047701</v>
          </cell>
          <cell r="Q63" t="str">
            <v>PY</v>
          </cell>
          <cell r="R63">
            <v>26552</v>
          </cell>
          <cell r="S63" t="str">
            <v>PY</v>
          </cell>
          <cell r="T63">
            <v>100000</v>
          </cell>
          <cell r="U63" t="str">
            <v>OVM</v>
          </cell>
          <cell r="V63">
            <v>5</v>
          </cell>
          <cell r="W63"/>
          <cell r="X63">
            <v>1.763423028430582E-3</v>
          </cell>
          <cell r="Y63">
            <v>2484</v>
          </cell>
          <cell r="Z63">
            <v>12420</v>
          </cell>
          <cell r="AA63">
            <v>0</v>
          </cell>
        </row>
        <row r="64">
          <cell r="A64">
            <v>62</v>
          </cell>
          <cell r="B64">
            <v>1045</v>
          </cell>
          <cell r="C64">
            <v>2024</v>
          </cell>
          <cell r="D64">
            <v>12</v>
          </cell>
          <cell r="E64" t="str">
            <v>Gómez Casco, Hugo Darío</v>
          </cell>
          <cell r="F64">
            <v>7</v>
          </cell>
          <cell r="G64">
            <v>1205356</v>
          </cell>
          <cell r="H64">
            <v>1207839</v>
          </cell>
          <cell r="I64">
            <v>1206</v>
          </cell>
          <cell r="J64">
            <v>1208</v>
          </cell>
          <cell r="K64">
            <v>1207.8389999999999</v>
          </cell>
          <cell r="L64">
            <v>161</v>
          </cell>
          <cell r="M64" t="str">
            <v xml:space="preserve">Hermana de Osvaldo Gomez </v>
          </cell>
          <cell r="N64" t="str">
            <v>FISICA</v>
          </cell>
          <cell r="O64" t="str">
            <v>CI</v>
          </cell>
          <cell r="P64">
            <v>794438</v>
          </cell>
          <cell r="Q64" t="str">
            <v>PY</v>
          </cell>
          <cell r="R64">
            <v>24814</v>
          </cell>
          <cell r="S64" t="str">
            <v>PY</v>
          </cell>
          <cell r="T64">
            <v>100000</v>
          </cell>
          <cell r="U64" t="str">
            <v>OVM</v>
          </cell>
          <cell r="V64">
            <v>5</v>
          </cell>
          <cell r="W64"/>
          <cell r="X64">
            <v>1.763423028430582E-3</v>
          </cell>
          <cell r="Y64">
            <v>2484</v>
          </cell>
          <cell r="Z64">
            <v>12420</v>
          </cell>
          <cell r="AA64">
            <v>0</v>
          </cell>
        </row>
        <row r="65">
          <cell r="A65">
            <v>63</v>
          </cell>
          <cell r="B65">
            <v>1045</v>
          </cell>
          <cell r="C65">
            <v>2024</v>
          </cell>
          <cell r="D65">
            <v>12</v>
          </cell>
          <cell r="E65" t="str">
            <v>Flecha Fiore, Claudia Valeria</v>
          </cell>
          <cell r="F65">
            <v>0</v>
          </cell>
          <cell r="G65">
            <v>1207840</v>
          </cell>
          <cell r="H65">
            <v>1210250</v>
          </cell>
          <cell r="I65">
            <v>1208</v>
          </cell>
          <cell r="J65">
            <v>1211</v>
          </cell>
          <cell r="K65">
            <v>1210.25</v>
          </cell>
          <cell r="L65">
            <v>750</v>
          </cell>
          <cell r="M65"/>
          <cell r="N65" t="str">
            <v>FISICA</v>
          </cell>
          <cell r="O65" t="str">
            <v>CI</v>
          </cell>
          <cell r="P65">
            <v>2902605</v>
          </cell>
          <cell r="Q65" t="str">
            <v>PY</v>
          </cell>
          <cell r="R65">
            <v>27328</v>
          </cell>
          <cell r="S65" t="str">
            <v>PY</v>
          </cell>
          <cell r="T65">
            <v>100000</v>
          </cell>
          <cell r="U65" t="str">
            <v>OVM</v>
          </cell>
          <cell r="V65">
            <v>5</v>
          </cell>
          <cell r="W65"/>
          <cell r="X65">
            <v>1.7115994048092322E-3</v>
          </cell>
          <cell r="Y65">
            <v>2411</v>
          </cell>
          <cell r="Z65">
            <v>12055</v>
          </cell>
          <cell r="AA65">
            <v>0</v>
          </cell>
        </row>
        <row r="66">
          <cell r="A66">
            <v>64</v>
          </cell>
          <cell r="B66">
            <v>1045</v>
          </cell>
          <cell r="C66">
            <v>2024</v>
          </cell>
          <cell r="D66">
            <v>12</v>
          </cell>
          <cell r="E66" t="str">
            <v>Acuña Zárate, Nadinhe Erica</v>
          </cell>
          <cell r="F66">
            <v>0</v>
          </cell>
          <cell r="G66">
            <v>1210251</v>
          </cell>
          <cell r="H66">
            <v>1212654</v>
          </cell>
          <cell r="I66">
            <v>1211</v>
          </cell>
          <cell r="J66">
            <v>1213</v>
          </cell>
          <cell r="K66">
            <v>1212.654</v>
          </cell>
          <cell r="L66">
            <v>346</v>
          </cell>
          <cell r="M66"/>
          <cell r="N66" t="str">
            <v>FISICA</v>
          </cell>
          <cell r="O66" t="str">
            <v>CI</v>
          </cell>
          <cell r="P66">
            <v>790096</v>
          </cell>
          <cell r="Q66" t="str">
            <v>PY</v>
          </cell>
          <cell r="R66">
            <v>29411</v>
          </cell>
          <cell r="S66" t="str">
            <v>PY</v>
          </cell>
          <cell r="T66">
            <v>100000</v>
          </cell>
          <cell r="U66" t="str">
            <v>OVM</v>
          </cell>
          <cell r="V66">
            <v>5</v>
          </cell>
          <cell r="W66"/>
          <cell r="X66">
            <v>1.7066300162428016E-3</v>
          </cell>
          <cell r="Y66">
            <v>2404</v>
          </cell>
          <cell r="Z66">
            <v>12020</v>
          </cell>
          <cell r="AA66">
            <v>0</v>
          </cell>
        </row>
        <row r="67">
          <cell r="A67">
            <v>65</v>
          </cell>
          <cell r="B67">
            <v>1045</v>
          </cell>
          <cell r="C67">
            <v>2024</v>
          </cell>
          <cell r="D67">
            <v>12</v>
          </cell>
          <cell r="E67" t="str">
            <v>Reimert Burró, Erik</v>
          </cell>
          <cell r="F67">
            <v>2</v>
          </cell>
          <cell r="G67">
            <v>1212655</v>
          </cell>
          <cell r="H67">
            <v>1214988</v>
          </cell>
          <cell r="I67">
            <v>1213</v>
          </cell>
          <cell r="J67">
            <v>1215</v>
          </cell>
          <cell r="K67">
            <v>1214.9880000000001</v>
          </cell>
          <cell r="L67">
            <v>12</v>
          </cell>
          <cell r="M67" t="str">
            <v>hijo de la Sra. Viviana Burró - sobrino del Sr. Felipe</v>
          </cell>
          <cell r="N67" t="str">
            <v>FISICA</v>
          </cell>
          <cell r="O67" t="str">
            <v>CI</v>
          </cell>
          <cell r="P67">
            <v>4337597</v>
          </cell>
          <cell r="Q67" t="str">
            <v>PY</v>
          </cell>
          <cell r="R67">
            <v>22459</v>
          </cell>
          <cell r="S67" t="str">
            <v>PY</v>
          </cell>
          <cell r="T67">
            <v>100000</v>
          </cell>
          <cell r="U67" t="str">
            <v>OVM</v>
          </cell>
          <cell r="V67">
            <v>5</v>
          </cell>
          <cell r="W67"/>
          <cell r="X67">
            <v>1.6569361305784937E-3</v>
          </cell>
          <cell r="Y67">
            <v>2334</v>
          </cell>
          <cell r="Z67">
            <v>11670</v>
          </cell>
          <cell r="AA67">
            <v>0</v>
          </cell>
        </row>
        <row r="68">
          <cell r="A68">
            <v>66</v>
          </cell>
          <cell r="B68">
            <v>1045</v>
          </cell>
          <cell r="C68">
            <v>2024</v>
          </cell>
          <cell r="D68">
            <v>12</v>
          </cell>
          <cell r="E68" t="str">
            <v>Levy Beczko, Marcos Darío</v>
          </cell>
          <cell r="F68">
            <v>15</v>
          </cell>
          <cell r="G68">
            <v>1214989</v>
          </cell>
          <cell r="H68">
            <v>1216916</v>
          </cell>
          <cell r="I68">
            <v>1215</v>
          </cell>
          <cell r="J68">
            <v>1217</v>
          </cell>
          <cell r="K68">
            <v>1216.9159999999999</v>
          </cell>
          <cell r="L68">
            <v>84</v>
          </cell>
          <cell r="M68" t="str">
            <v>Hijo de Ricardo Levy</v>
          </cell>
          <cell r="N68" t="str">
            <v>FISICA</v>
          </cell>
          <cell r="O68" t="str">
            <v>CI</v>
          </cell>
          <cell r="P68">
            <v>2118547</v>
          </cell>
          <cell r="Q68" t="str">
            <v>PY</v>
          </cell>
          <cell r="R68">
            <v>28507</v>
          </cell>
          <cell r="S68" t="str">
            <v>PY</v>
          </cell>
          <cell r="T68">
            <v>100000</v>
          </cell>
          <cell r="U68" t="str">
            <v>OVM</v>
          </cell>
          <cell r="V68">
            <v>5</v>
          </cell>
          <cell r="W68"/>
          <cell r="X68">
            <v>1.3687115937255081E-3</v>
          </cell>
          <cell r="Y68">
            <v>1928</v>
          </cell>
          <cell r="Z68">
            <v>9640</v>
          </cell>
          <cell r="AA68">
            <v>0</v>
          </cell>
        </row>
        <row r="69">
          <cell r="A69">
            <v>67</v>
          </cell>
          <cell r="B69">
            <v>1045</v>
          </cell>
          <cell r="C69">
            <v>2024</v>
          </cell>
          <cell r="D69">
            <v>12</v>
          </cell>
          <cell r="E69" t="str">
            <v>Ricciardi Chaves, José Antonio</v>
          </cell>
          <cell r="F69">
            <v>0</v>
          </cell>
          <cell r="G69">
            <v>1216917</v>
          </cell>
          <cell r="H69">
            <v>1218808</v>
          </cell>
          <cell r="I69">
            <v>1217</v>
          </cell>
          <cell r="J69">
            <v>1219</v>
          </cell>
          <cell r="K69">
            <v>1218.808</v>
          </cell>
          <cell r="L69">
            <v>192</v>
          </cell>
          <cell r="M69"/>
          <cell r="N69" t="str">
            <v>FISICA</v>
          </cell>
          <cell r="O69" t="str">
            <v>CI</v>
          </cell>
          <cell r="P69">
            <v>4172038</v>
          </cell>
          <cell r="Q69" t="str">
            <v>PY</v>
          </cell>
          <cell r="R69">
            <v>29665</v>
          </cell>
          <cell r="S69" t="str">
            <v>PY</v>
          </cell>
          <cell r="T69">
            <v>100000</v>
          </cell>
          <cell r="U69" t="str">
            <v>OVM</v>
          </cell>
          <cell r="V69">
            <v>5</v>
          </cell>
          <cell r="W69"/>
          <cell r="X69">
            <v>1.3431547382410068E-3</v>
          </cell>
          <cell r="Y69">
            <v>1892</v>
          </cell>
          <cell r="Z69">
            <v>9460</v>
          </cell>
          <cell r="AA69">
            <v>0</v>
          </cell>
        </row>
        <row r="70">
          <cell r="A70">
            <v>68</v>
          </cell>
          <cell r="B70">
            <v>1045</v>
          </cell>
          <cell r="C70">
            <v>2024</v>
          </cell>
          <cell r="D70">
            <v>12</v>
          </cell>
          <cell r="E70" t="str">
            <v>Levy Beczko, Julio Manuel</v>
          </cell>
          <cell r="F70">
            <v>15</v>
          </cell>
          <cell r="G70">
            <v>1218809</v>
          </cell>
          <cell r="H70">
            <v>1220504</v>
          </cell>
          <cell r="I70">
            <v>1219</v>
          </cell>
          <cell r="J70">
            <v>1221</v>
          </cell>
          <cell r="K70">
            <v>1220.5039999999999</v>
          </cell>
          <cell r="L70">
            <v>496</v>
          </cell>
          <cell r="M70" t="str">
            <v>Hijo de Ricardo Levy</v>
          </cell>
          <cell r="N70" t="str">
            <v>FISICA</v>
          </cell>
          <cell r="O70" t="str">
            <v>CI</v>
          </cell>
          <cell r="P70">
            <v>1434376</v>
          </cell>
          <cell r="Q70" t="str">
            <v>PY</v>
          </cell>
          <cell r="R70">
            <v>23340</v>
          </cell>
          <cell r="S70" t="str">
            <v>PY</v>
          </cell>
          <cell r="T70">
            <v>100000</v>
          </cell>
          <cell r="U70" t="str">
            <v>OVM</v>
          </cell>
          <cell r="V70">
            <v>5</v>
          </cell>
          <cell r="W70"/>
          <cell r="X70">
            <v>1.2040118583809447E-3</v>
          </cell>
          <cell r="Y70">
            <v>1696</v>
          </cell>
          <cell r="Z70">
            <v>8480</v>
          </cell>
          <cell r="AA70">
            <v>0</v>
          </cell>
        </row>
        <row r="71">
          <cell r="A71">
            <v>69</v>
          </cell>
          <cell r="B71">
            <v>1045</v>
          </cell>
          <cell r="C71">
            <v>2024</v>
          </cell>
          <cell r="D71">
            <v>12</v>
          </cell>
          <cell r="E71" t="str">
            <v>Capurro Saldivar, Patricia Noemí</v>
          </cell>
          <cell r="F71">
            <v>0</v>
          </cell>
          <cell r="G71">
            <v>1220505</v>
          </cell>
          <cell r="H71">
            <v>1222178</v>
          </cell>
          <cell r="I71">
            <v>1221</v>
          </cell>
          <cell r="J71">
            <v>1223</v>
          </cell>
          <cell r="K71">
            <v>1222.1780000000001</v>
          </cell>
          <cell r="L71">
            <v>822</v>
          </cell>
          <cell r="M71"/>
          <cell r="N71" t="str">
            <v>FISICA</v>
          </cell>
          <cell r="O71" t="str">
            <v>CI</v>
          </cell>
          <cell r="P71">
            <v>1471307</v>
          </cell>
          <cell r="Q71" t="str">
            <v>PY</v>
          </cell>
          <cell r="R71">
            <v>22690</v>
          </cell>
          <cell r="S71" t="str">
            <v>PY</v>
          </cell>
          <cell r="T71">
            <v>100000</v>
          </cell>
          <cell r="U71" t="str">
            <v>OVM</v>
          </cell>
          <cell r="V71">
            <v>5</v>
          </cell>
          <cell r="W71"/>
          <cell r="X71">
            <v>1.1883937800293053E-3</v>
          </cell>
          <cell r="Y71">
            <v>1674</v>
          </cell>
          <cell r="Z71">
            <v>8370</v>
          </cell>
          <cell r="AA71">
            <v>0</v>
          </cell>
        </row>
        <row r="72">
          <cell r="A72">
            <v>70</v>
          </cell>
          <cell r="B72">
            <v>1045</v>
          </cell>
          <cell r="C72">
            <v>2024</v>
          </cell>
          <cell r="D72">
            <v>12</v>
          </cell>
          <cell r="E72" t="str">
            <v>Reimert Burró, Nicole Marie</v>
          </cell>
          <cell r="F72">
            <v>2</v>
          </cell>
          <cell r="G72">
            <v>1222179</v>
          </cell>
          <cell r="H72">
            <v>1223751</v>
          </cell>
          <cell r="I72">
            <v>1223</v>
          </cell>
          <cell r="J72">
            <v>1224</v>
          </cell>
          <cell r="K72">
            <v>1223.751</v>
          </cell>
          <cell r="L72">
            <v>249</v>
          </cell>
          <cell r="M72" t="str">
            <v>hija de la Sra. Viviana Burró - sobrino del Sr. Felipe</v>
          </cell>
          <cell r="N72" t="str">
            <v>FISICA</v>
          </cell>
          <cell r="O72" t="str">
            <v>CI</v>
          </cell>
          <cell r="P72">
            <v>4126480</v>
          </cell>
          <cell r="Q72" t="str">
            <v>PY</v>
          </cell>
          <cell r="R72">
            <v>24410</v>
          </cell>
          <cell r="S72" t="str">
            <v>PY</v>
          </cell>
          <cell r="T72">
            <v>100000</v>
          </cell>
          <cell r="U72" t="str">
            <v>OVM</v>
          </cell>
          <cell r="V72">
            <v>5</v>
          </cell>
          <cell r="W72"/>
          <cell r="X72">
            <v>1.1166926021422324E-3</v>
          </cell>
          <cell r="Y72">
            <v>1573</v>
          </cell>
          <cell r="Z72">
            <v>7865</v>
          </cell>
          <cell r="AA72">
            <v>0</v>
          </cell>
        </row>
        <row r="73">
          <cell r="A73">
            <v>71</v>
          </cell>
          <cell r="B73">
            <v>1045</v>
          </cell>
          <cell r="C73">
            <v>2024</v>
          </cell>
          <cell r="D73">
            <v>12</v>
          </cell>
          <cell r="E73" t="str">
            <v>Frutos de Elizeche, María del Pilar</v>
          </cell>
          <cell r="F73">
            <v>6</v>
          </cell>
          <cell r="G73">
            <v>1223752</v>
          </cell>
          <cell r="H73">
            <v>1225248</v>
          </cell>
          <cell r="I73">
            <v>1224</v>
          </cell>
          <cell r="J73">
            <v>1226</v>
          </cell>
          <cell r="K73">
            <v>1225.248</v>
          </cell>
          <cell r="L73">
            <v>752</v>
          </cell>
          <cell r="M73" t="str">
            <v>Hija de Wylma Ruiz de Frutos</v>
          </cell>
          <cell r="N73" t="str">
            <v>FISICA</v>
          </cell>
          <cell r="O73" t="str">
            <v>CI</v>
          </cell>
          <cell r="P73">
            <v>878372</v>
          </cell>
          <cell r="Q73" t="str">
            <v>PY</v>
          </cell>
          <cell r="R73">
            <v>16644</v>
          </cell>
          <cell r="S73" t="str">
            <v>PY</v>
          </cell>
          <cell r="T73">
            <v>100000</v>
          </cell>
          <cell r="U73" t="str">
            <v>OVM</v>
          </cell>
          <cell r="V73">
            <v>5</v>
          </cell>
          <cell r="W73"/>
          <cell r="X73">
            <v>1.062739240563841E-3</v>
          </cell>
          <cell r="Y73">
            <v>1497</v>
          </cell>
          <cell r="Z73">
            <v>7485</v>
          </cell>
          <cell r="AA73">
            <v>0</v>
          </cell>
        </row>
        <row r="74">
          <cell r="A74">
            <v>72</v>
          </cell>
          <cell r="B74">
            <v>1045</v>
          </cell>
          <cell r="C74">
            <v>2024</v>
          </cell>
          <cell r="D74">
            <v>12</v>
          </cell>
          <cell r="E74" t="str">
            <v>Frutos Ruiz, Alexis Manuel</v>
          </cell>
          <cell r="F74">
            <v>6</v>
          </cell>
          <cell r="G74">
            <v>1225249</v>
          </cell>
          <cell r="H74">
            <v>1226745</v>
          </cell>
          <cell r="I74">
            <v>1226</v>
          </cell>
          <cell r="J74">
            <v>1227</v>
          </cell>
          <cell r="K74">
            <v>1226.7449999999999</v>
          </cell>
          <cell r="L74">
            <v>255</v>
          </cell>
          <cell r="M74" t="str">
            <v>Hija de Wylma Ruiz de Frutos</v>
          </cell>
          <cell r="N74" t="str">
            <v>FISICA</v>
          </cell>
          <cell r="O74" t="str">
            <v>CI</v>
          </cell>
          <cell r="P74">
            <v>699959</v>
          </cell>
          <cell r="Q74" t="str">
            <v>PY</v>
          </cell>
          <cell r="R74">
            <v>22408</v>
          </cell>
          <cell r="S74" t="str">
            <v>PY</v>
          </cell>
          <cell r="T74">
            <v>100000</v>
          </cell>
          <cell r="U74" t="str">
            <v>OVM</v>
          </cell>
          <cell r="V74">
            <v>5</v>
          </cell>
          <cell r="W74"/>
          <cell r="X74">
            <v>1.062739240563841E-3</v>
          </cell>
          <cell r="Y74">
            <v>1497</v>
          </cell>
          <cell r="Z74">
            <v>7485</v>
          </cell>
          <cell r="AA74">
            <v>0</v>
          </cell>
        </row>
        <row r="75">
          <cell r="A75">
            <v>73</v>
          </cell>
          <cell r="B75">
            <v>1045</v>
          </cell>
          <cell r="C75">
            <v>2024</v>
          </cell>
          <cell r="D75">
            <v>12</v>
          </cell>
          <cell r="E75" t="str">
            <v>Frutos Ruiz, Wilma Patricia</v>
          </cell>
          <cell r="F75">
            <v>6</v>
          </cell>
          <cell r="G75">
            <v>1226746</v>
          </cell>
          <cell r="H75">
            <v>1228242</v>
          </cell>
          <cell r="I75">
            <v>1227</v>
          </cell>
          <cell r="J75">
            <v>1229</v>
          </cell>
          <cell r="K75">
            <v>1228.242</v>
          </cell>
          <cell r="L75">
            <v>758</v>
          </cell>
          <cell r="M75" t="str">
            <v>Hija de Wylma Ruiz de Frutos</v>
          </cell>
          <cell r="N75" t="str">
            <v>FISICA</v>
          </cell>
          <cell r="O75" t="str">
            <v>CI</v>
          </cell>
          <cell r="P75">
            <v>1002073</v>
          </cell>
          <cell r="Q75" t="str">
            <v>PY</v>
          </cell>
          <cell r="R75">
            <v>25627</v>
          </cell>
          <cell r="S75" t="str">
            <v>PY</v>
          </cell>
          <cell r="T75">
            <v>100000</v>
          </cell>
          <cell r="U75" t="str">
            <v>OVM</v>
          </cell>
          <cell r="V75">
            <v>5</v>
          </cell>
          <cell r="W75"/>
          <cell r="X75">
            <v>1.062739240563841E-3</v>
          </cell>
          <cell r="Y75">
            <v>1497</v>
          </cell>
          <cell r="Z75">
            <v>7485</v>
          </cell>
          <cell r="AA75">
            <v>0</v>
          </cell>
        </row>
        <row r="76">
          <cell r="A76">
            <v>74</v>
          </cell>
          <cell r="B76">
            <v>1045</v>
          </cell>
          <cell r="C76">
            <v>2024</v>
          </cell>
          <cell r="D76">
            <v>12</v>
          </cell>
          <cell r="E76" t="str">
            <v>Angulo vda. de Pecci, María Leonor</v>
          </cell>
          <cell r="F76">
            <v>12</v>
          </cell>
          <cell r="G76">
            <v>1228243</v>
          </cell>
          <cell r="H76">
            <v>1229600</v>
          </cell>
          <cell r="I76">
            <v>1229</v>
          </cell>
          <cell r="J76">
            <v>1230</v>
          </cell>
          <cell r="K76">
            <v>1229.5999999999999</v>
          </cell>
          <cell r="L76">
            <v>400</v>
          </cell>
          <cell r="M76" t="str">
            <v>Cuñada de los Hermanos Pecci</v>
          </cell>
          <cell r="N76" t="str">
            <v>FISICA</v>
          </cell>
          <cell r="O76" t="str">
            <v>CI</v>
          </cell>
          <cell r="P76">
            <v>640587</v>
          </cell>
          <cell r="Q76" t="str">
            <v>PY</v>
          </cell>
          <cell r="R76">
            <v>31120</v>
          </cell>
          <cell r="S76" t="str">
            <v>PY</v>
          </cell>
          <cell r="T76">
            <v>100000</v>
          </cell>
          <cell r="U76" t="str">
            <v>OVM</v>
          </cell>
          <cell r="V76">
            <v>5</v>
          </cell>
          <cell r="W76"/>
          <cell r="X76">
            <v>9.6406138188757256E-4</v>
          </cell>
          <cell r="Y76">
            <v>1358</v>
          </cell>
          <cell r="Z76">
            <v>6790</v>
          </cell>
          <cell r="AA76">
            <v>0</v>
          </cell>
        </row>
        <row r="77">
          <cell r="A77">
            <v>75</v>
          </cell>
          <cell r="B77">
            <v>1045</v>
          </cell>
          <cell r="C77">
            <v>2024</v>
          </cell>
          <cell r="D77">
            <v>12</v>
          </cell>
          <cell r="E77" t="str">
            <v>Fernández de Facetti, Marta Petrona</v>
          </cell>
          <cell r="F77">
            <v>5</v>
          </cell>
          <cell r="G77">
            <v>1229601</v>
          </cell>
          <cell r="H77">
            <v>1230920</v>
          </cell>
          <cell r="I77">
            <v>1230</v>
          </cell>
          <cell r="J77">
            <v>1231</v>
          </cell>
          <cell r="K77">
            <v>1230.92</v>
          </cell>
          <cell r="L77">
            <v>80</v>
          </cell>
          <cell r="M77" t="str">
            <v>Cuñada de Zeneida Vaezquen Vda. De Facetti</v>
          </cell>
          <cell r="N77" t="str">
            <v>FISICA</v>
          </cell>
          <cell r="O77" t="str">
            <v>CI</v>
          </cell>
          <cell r="P77">
            <v>144606</v>
          </cell>
          <cell r="Q77" t="str">
            <v>PY</v>
          </cell>
          <cell r="R77">
            <v>13683</v>
          </cell>
          <cell r="S77" t="str">
            <v>PY</v>
          </cell>
          <cell r="T77">
            <v>100000</v>
          </cell>
          <cell r="U77" t="str">
            <v>OVM</v>
          </cell>
          <cell r="V77">
            <v>5</v>
          </cell>
          <cell r="W77"/>
          <cell r="X77">
            <v>9.3708470109837676E-4</v>
          </cell>
          <cell r="Y77">
            <v>1319.9999999999998</v>
          </cell>
          <cell r="Z77">
            <v>6599.9999999999991</v>
          </cell>
          <cell r="AA77">
            <v>0</v>
          </cell>
        </row>
        <row r="78">
          <cell r="A78">
            <v>76</v>
          </cell>
          <cell r="B78">
            <v>1045</v>
          </cell>
          <cell r="C78">
            <v>2024</v>
          </cell>
          <cell r="D78">
            <v>12</v>
          </cell>
          <cell r="E78" t="str">
            <v>Martínez de Cáceres, María Cristina</v>
          </cell>
          <cell r="F78">
            <v>10</v>
          </cell>
          <cell r="G78">
            <v>1230921</v>
          </cell>
          <cell r="H78">
            <v>1232153</v>
          </cell>
          <cell r="I78">
            <v>1231</v>
          </cell>
          <cell r="J78">
            <v>1233</v>
          </cell>
          <cell r="K78">
            <v>1232.153</v>
          </cell>
          <cell r="L78">
            <v>847</v>
          </cell>
          <cell r="M78" t="str">
            <v>Hija de Noemí Vargas de Martínez</v>
          </cell>
          <cell r="N78" t="str">
            <v>FISICA</v>
          </cell>
          <cell r="O78" t="str">
            <v>CI</v>
          </cell>
          <cell r="P78">
            <v>433576</v>
          </cell>
          <cell r="Q78" t="str">
            <v>PY</v>
          </cell>
          <cell r="R78">
            <v>20061</v>
          </cell>
          <cell r="S78" t="str">
            <v>PY</v>
          </cell>
          <cell r="T78">
            <v>100000</v>
          </cell>
          <cell r="U78" t="str">
            <v>OVM</v>
          </cell>
          <cell r="V78">
            <v>5</v>
          </cell>
          <cell r="W78"/>
          <cell r="X78">
            <v>8.7532230034416565E-4</v>
          </cell>
          <cell r="Y78">
            <v>1233</v>
          </cell>
          <cell r="Z78">
            <v>6165</v>
          </cell>
          <cell r="AA78">
            <v>0</v>
          </cell>
        </row>
        <row r="79">
          <cell r="A79">
            <v>77</v>
          </cell>
          <cell r="B79">
            <v>1045</v>
          </cell>
          <cell r="C79">
            <v>2024</v>
          </cell>
          <cell r="D79">
            <v>12</v>
          </cell>
          <cell r="E79" t="str">
            <v>Martínez de Fleitas, María Lilia</v>
          </cell>
          <cell r="F79">
            <v>10</v>
          </cell>
          <cell r="G79">
            <v>1232154</v>
          </cell>
          <cell r="H79">
            <v>1233386</v>
          </cell>
          <cell r="I79">
            <v>1233</v>
          </cell>
          <cell r="J79">
            <v>1234</v>
          </cell>
          <cell r="K79">
            <v>1233.386</v>
          </cell>
          <cell r="L79">
            <v>614</v>
          </cell>
          <cell r="M79" t="str">
            <v>Hija de Noemí Vargas de Martínez</v>
          </cell>
          <cell r="N79" t="str">
            <v>FISICA</v>
          </cell>
          <cell r="O79" t="str">
            <v>CI</v>
          </cell>
          <cell r="P79">
            <v>433577</v>
          </cell>
          <cell r="Q79" t="str">
            <v>PY</v>
          </cell>
          <cell r="R79">
            <v>13420</v>
          </cell>
          <cell r="S79" t="str">
            <v>PY</v>
          </cell>
          <cell r="T79">
            <v>100000</v>
          </cell>
          <cell r="U79" t="str">
            <v>OVM</v>
          </cell>
          <cell r="V79">
            <v>5</v>
          </cell>
          <cell r="W79"/>
          <cell r="X79">
            <v>8.7532230034416565E-4</v>
          </cell>
          <cell r="Y79">
            <v>1233</v>
          </cell>
          <cell r="Z79">
            <v>6165</v>
          </cell>
          <cell r="AA79">
            <v>0</v>
          </cell>
        </row>
        <row r="80">
          <cell r="A80">
            <v>78</v>
          </cell>
          <cell r="B80">
            <v>1045</v>
          </cell>
          <cell r="C80">
            <v>2024</v>
          </cell>
          <cell r="D80">
            <v>12</v>
          </cell>
          <cell r="E80" t="str">
            <v>Martínez Vargas, Javier Luís</v>
          </cell>
          <cell r="F80">
            <v>10</v>
          </cell>
          <cell r="G80">
            <v>1233387</v>
          </cell>
          <cell r="H80">
            <v>1234619</v>
          </cell>
          <cell r="I80">
            <v>1234</v>
          </cell>
          <cell r="J80">
            <v>1235</v>
          </cell>
          <cell r="K80">
            <v>1234.6189999999999</v>
          </cell>
          <cell r="L80">
            <v>381</v>
          </cell>
          <cell r="M80" t="str">
            <v>Hijo de Noemí Vargas de Martínez</v>
          </cell>
          <cell r="N80" t="str">
            <v>FISICA</v>
          </cell>
          <cell r="O80" t="str">
            <v>CI</v>
          </cell>
          <cell r="P80">
            <v>507343</v>
          </cell>
          <cell r="Q80" t="str">
            <v>PY</v>
          </cell>
          <cell r="R80">
            <v>20595</v>
          </cell>
          <cell r="S80" t="str">
            <v>PY</v>
          </cell>
          <cell r="T80">
            <v>100000</v>
          </cell>
          <cell r="U80" t="str">
            <v>OVM</v>
          </cell>
          <cell r="V80">
            <v>5</v>
          </cell>
          <cell r="W80"/>
          <cell r="X80">
            <v>8.7532230034416565E-4</v>
          </cell>
          <cell r="Y80">
            <v>1233</v>
          </cell>
          <cell r="Z80">
            <v>6165</v>
          </cell>
          <cell r="AA80">
            <v>0</v>
          </cell>
        </row>
        <row r="81">
          <cell r="A81">
            <v>79</v>
          </cell>
          <cell r="B81">
            <v>1045</v>
          </cell>
          <cell r="C81">
            <v>2024</v>
          </cell>
          <cell r="D81">
            <v>12</v>
          </cell>
          <cell r="E81" t="str">
            <v>Martínez Vargas, José María</v>
          </cell>
          <cell r="F81">
            <v>10</v>
          </cell>
          <cell r="G81">
            <v>1234620</v>
          </cell>
          <cell r="H81">
            <v>1235852</v>
          </cell>
          <cell r="I81">
            <v>1235</v>
          </cell>
          <cell r="J81">
            <v>1236</v>
          </cell>
          <cell r="K81">
            <v>1235.8520000000001</v>
          </cell>
          <cell r="L81">
            <v>148</v>
          </cell>
          <cell r="M81" t="str">
            <v>Hijo de Noemí Vargas de Martínez</v>
          </cell>
          <cell r="N81" t="str">
            <v>FISICA</v>
          </cell>
          <cell r="O81" t="str">
            <v>CI</v>
          </cell>
          <cell r="P81">
            <v>423451</v>
          </cell>
          <cell r="Q81" t="str">
            <v>PY</v>
          </cell>
          <cell r="R81">
            <v>21268</v>
          </cell>
          <cell r="S81" t="str">
            <v>PY</v>
          </cell>
          <cell r="T81">
            <v>100000</v>
          </cell>
          <cell r="U81" t="str">
            <v>OVM</v>
          </cell>
          <cell r="V81">
            <v>5</v>
          </cell>
          <cell r="W81"/>
          <cell r="X81">
            <v>8.7532230034416565E-4</v>
          </cell>
          <cell r="Y81">
            <v>1233</v>
          </cell>
          <cell r="Z81">
            <v>6165</v>
          </cell>
          <cell r="AA81">
            <v>0</v>
          </cell>
        </row>
        <row r="82">
          <cell r="A82">
            <v>80</v>
          </cell>
          <cell r="B82">
            <v>1045</v>
          </cell>
          <cell r="C82">
            <v>2024</v>
          </cell>
          <cell r="D82">
            <v>12</v>
          </cell>
          <cell r="E82" t="str">
            <v>Martínez Vargas, Marcelo Amado</v>
          </cell>
          <cell r="F82">
            <v>10</v>
          </cell>
          <cell r="G82">
            <v>1235853</v>
          </cell>
          <cell r="H82">
            <v>1237085</v>
          </cell>
          <cell r="I82">
            <v>1236</v>
          </cell>
          <cell r="J82">
            <v>1238</v>
          </cell>
          <cell r="K82">
            <v>1237.085</v>
          </cell>
          <cell r="L82">
            <v>915</v>
          </cell>
          <cell r="M82" t="str">
            <v>Hijo de Noemí Vargas de Martínez</v>
          </cell>
          <cell r="N82" t="str">
            <v>FISICA</v>
          </cell>
          <cell r="O82" t="str">
            <v>CI</v>
          </cell>
          <cell r="P82">
            <v>507669</v>
          </cell>
          <cell r="Q82" t="str">
            <v>PY</v>
          </cell>
          <cell r="R82">
            <v>22151</v>
          </cell>
          <cell r="S82" t="str">
            <v>PY</v>
          </cell>
          <cell r="T82">
            <v>100000</v>
          </cell>
          <cell r="U82" t="str">
            <v>OVM</v>
          </cell>
          <cell r="V82">
            <v>5</v>
          </cell>
          <cell r="W82"/>
          <cell r="X82">
            <v>8.7532230034416565E-4</v>
          </cell>
          <cell r="Y82">
            <v>1233</v>
          </cell>
          <cell r="Z82">
            <v>6165</v>
          </cell>
          <cell r="AA82">
            <v>0</v>
          </cell>
        </row>
        <row r="83">
          <cell r="A83">
            <v>81</v>
          </cell>
          <cell r="B83">
            <v>1045</v>
          </cell>
          <cell r="C83">
            <v>2024</v>
          </cell>
          <cell r="D83">
            <v>12</v>
          </cell>
          <cell r="E83" t="str">
            <v>Corvalán Espinola, Mauro Gualberto</v>
          </cell>
          <cell r="F83">
            <v>0</v>
          </cell>
          <cell r="G83">
            <v>1237086</v>
          </cell>
          <cell r="H83">
            <v>1238173</v>
          </cell>
          <cell r="I83">
            <v>1238</v>
          </cell>
          <cell r="J83">
            <v>1239</v>
          </cell>
          <cell r="K83">
            <v>1238.173</v>
          </cell>
          <cell r="L83">
            <v>827</v>
          </cell>
          <cell r="M83"/>
          <cell r="N83" t="str">
            <v>FISICA</v>
          </cell>
          <cell r="O83" t="str">
            <v>CI</v>
          </cell>
          <cell r="P83">
            <v>2426892</v>
          </cell>
          <cell r="Q83" t="str">
            <v>PY</v>
          </cell>
          <cell r="R83">
            <v>28262</v>
          </cell>
          <cell r="S83" t="str">
            <v>PY</v>
          </cell>
          <cell r="T83">
            <v>100000</v>
          </cell>
          <cell r="U83" t="str">
            <v>OVM</v>
          </cell>
          <cell r="V83">
            <v>5</v>
          </cell>
          <cell r="W83"/>
          <cell r="X83">
            <v>7.723849657538136E-4</v>
          </cell>
          <cell r="Y83">
            <v>1088</v>
          </cell>
          <cell r="Z83">
            <v>5440</v>
          </cell>
          <cell r="AA83">
            <v>0</v>
          </cell>
        </row>
        <row r="84">
          <cell r="A84">
            <v>82</v>
          </cell>
          <cell r="B84">
            <v>1045</v>
          </cell>
          <cell r="C84">
            <v>2024</v>
          </cell>
          <cell r="D84">
            <v>12</v>
          </cell>
          <cell r="E84" t="str">
            <v>Ballasch Amigo, Federico Javier</v>
          </cell>
          <cell r="F84">
            <v>1</v>
          </cell>
          <cell r="G84">
            <v>1238174</v>
          </cell>
          <cell r="H84">
            <v>1239191</v>
          </cell>
          <cell r="I84">
            <v>1239</v>
          </cell>
          <cell r="J84">
            <v>1240</v>
          </cell>
          <cell r="K84">
            <v>1239.191</v>
          </cell>
          <cell r="L84">
            <v>809</v>
          </cell>
          <cell r="M84" t="str">
            <v>Hijo de Ida Susana Amigo de Ballasch</v>
          </cell>
          <cell r="N84" t="str">
            <v>FISICA</v>
          </cell>
          <cell r="O84" t="str">
            <v>CI</v>
          </cell>
          <cell r="P84">
            <v>1214076</v>
          </cell>
          <cell r="Q84" t="str">
            <v>PY</v>
          </cell>
          <cell r="R84">
            <v>28504</v>
          </cell>
          <cell r="S84" t="str">
            <v>PY</v>
          </cell>
          <cell r="T84">
            <v>100000</v>
          </cell>
          <cell r="U84" t="str">
            <v>OVM</v>
          </cell>
          <cell r="V84">
            <v>5</v>
          </cell>
          <cell r="W84"/>
          <cell r="X84">
            <v>7.226910800895058E-4</v>
          </cell>
          <cell r="Y84">
            <v>1018</v>
          </cell>
          <cell r="Z84">
            <v>5090</v>
          </cell>
          <cell r="AA84">
            <v>0</v>
          </cell>
        </row>
        <row r="85">
          <cell r="A85">
            <v>83</v>
          </cell>
          <cell r="B85">
            <v>1045</v>
          </cell>
          <cell r="C85">
            <v>2024</v>
          </cell>
          <cell r="D85">
            <v>12</v>
          </cell>
          <cell r="E85" t="str">
            <v>Tattón Gómez, Carlos José</v>
          </cell>
          <cell r="F85">
            <v>16</v>
          </cell>
          <cell r="G85">
            <v>1239192</v>
          </cell>
          <cell r="H85">
            <v>1240098</v>
          </cell>
          <cell r="I85">
            <v>1240</v>
          </cell>
          <cell r="J85">
            <v>1241</v>
          </cell>
          <cell r="K85">
            <v>1240.098</v>
          </cell>
          <cell r="L85">
            <v>902</v>
          </cell>
          <cell r="M85" t="str">
            <v>Hno de Veronica Tatton</v>
          </cell>
          <cell r="N85" t="str">
            <v>FISICA</v>
          </cell>
          <cell r="O85" t="str">
            <v>CI</v>
          </cell>
          <cell r="P85">
            <v>1358534</v>
          </cell>
          <cell r="Q85" t="str">
            <v>PY</v>
          </cell>
          <cell r="R85">
            <v>26949</v>
          </cell>
          <cell r="S85" t="str">
            <v>PY</v>
          </cell>
          <cell r="T85">
            <v>100000</v>
          </cell>
          <cell r="U85" t="str">
            <v>OVM</v>
          </cell>
          <cell r="V85">
            <v>5</v>
          </cell>
          <cell r="W85"/>
          <cell r="X85">
            <v>6.4389077567896045E-4</v>
          </cell>
          <cell r="Y85">
            <v>907</v>
          </cell>
          <cell r="Z85">
            <v>4535</v>
          </cell>
          <cell r="AA85">
            <v>0</v>
          </cell>
        </row>
        <row r="86">
          <cell r="A86">
            <v>84</v>
          </cell>
          <cell r="B86">
            <v>1045</v>
          </cell>
          <cell r="C86">
            <v>2024</v>
          </cell>
          <cell r="D86">
            <v>12</v>
          </cell>
          <cell r="E86" t="str">
            <v>Silvera Vda. de Díaz Benza, María Esther</v>
          </cell>
          <cell r="F86">
            <v>4</v>
          </cell>
          <cell r="G86">
            <v>1240099</v>
          </cell>
          <cell r="H86">
            <v>1240960</v>
          </cell>
          <cell r="I86">
            <v>1241</v>
          </cell>
          <cell r="J86">
            <v>1241</v>
          </cell>
          <cell r="K86">
            <v>1240.96</v>
          </cell>
          <cell r="L86">
            <v>40</v>
          </cell>
          <cell r="M86" t="str">
            <v>Cuñada de Ana María Díaz Benza</v>
          </cell>
          <cell r="N86" t="str">
            <v>FISICA</v>
          </cell>
          <cell r="O86" t="str">
            <v>CI</v>
          </cell>
          <cell r="P86">
            <v>515224</v>
          </cell>
          <cell r="Q86" t="str">
            <v>PY</v>
          </cell>
          <cell r="R86">
            <v>27072</v>
          </cell>
          <cell r="S86" t="str">
            <v>PY</v>
          </cell>
          <cell r="T86">
            <v>100000</v>
          </cell>
          <cell r="U86" t="str">
            <v>OVM</v>
          </cell>
          <cell r="V86">
            <v>5</v>
          </cell>
          <cell r="W86"/>
          <cell r="X86">
            <v>6.1194470632333403E-4</v>
          </cell>
          <cell r="Y86">
            <v>862</v>
          </cell>
          <cell r="Z86">
            <v>4310</v>
          </cell>
          <cell r="AA86">
            <v>0</v>
          </cell>
        </row>
        <row r="87">
          <cell r="A87">
            <v>85</v>
          </cell>
          <cell r="B87">
            <v>1045</v>
          </cell>
          <cell r="C87">
            <v>2024</v>
          </cell>
          <cell r="D87">
            <v>12</v>
          </cell>
          <cell r="E87" t="str">
            <v>Agüero Insfrán, Carlos Darío</v>
          </cell>
          <cell r="F87">
            <v>0</v>
          </cell>
          <cell r="G87">
            <v>1240961</v>
          </cell>
          <cell r="H87">
            <v>1241682</v>
          </cell>
          <cell r="I87">
            <v>1241</v>
          </cell>
          <cell r="J87">
            <v>1242</v>
          </cell>
          <cell r="K87">
            <v>1241.682</v>
          </cell>
          <cell r="L87">
            <v>318</v>
          </cell>
          <cell r="M87"/>
          <cell r="N87" t="str">
            <v>FISICA</v>
          </cell>
          <cell r="O87" t="str">
            <v>CI</v>
          </cell>
          <cell r="P87">
            <v>802257</v>
          </cell>
          <cell r="Q87" t="str">
            <v>PY</v>
          </cell>
          <cell r="R87">
            <v>19879</v>
          </cell>
          <cell r="S87" t="str">
            <v>PY</v>
          </cell>
          <cell r="T87">
            <v>100000</v>
          </cell>
          <cell r="U87" t="str">
            <v>OVM</v>
          </cell>
          <cell r="V87">
            <v>5</v>
          </cell>
          <cell r="W87"/>
          <cell r="X87">
            <v>5.1255693499471821E-4</v>
          </cell>
          <cell r="Y87">
            <v>722</v>
          </cell>
          <cell r="Z87">
            <v>3610</v>
          </cell>
          <cell r="AA87">
            <v>0</v>
          </cell>
        </row>
        <row r="88">
          <cell r="A88">
            <v>86</v>
          </cell>
          <cell r="B88">
            <v>1045</v>
          </cell>
          <cell r="C88">
            <v>2024</v>
          </cell>
          <cell r="D88">
            <v>12</v>
          </cell>
          <cell r="E88" t="str">
            <v>Mongelos Cantero, Jorge Daniel</v>
          </cell>
          <cell r="F88">
            <v>0</v>
          </cell>
          <cell r="G88">
            <v>1241683</v>
          </cell>
          <cell r="H88">
            <v>1242402</v>
          </cell>
          <cell r="I88">
            <v>1242</v>
          </cell>
          <cell r="J88">
            <v>1243</v>
          </cell>
          <cell r="K88">
            <v>1242.402</v>
          </cell>
          <cell r="L88">
            <v>598</v>
          </cell>
          <cell r="M88"/>
          <cell r="N88" t="str">
            <v>FISICA</v>
          </cell>
          <cell r="O88" t="str">
            <v>CI</v>
          </cell>
          <cell r="P88">
            <v>3759025</v>
          </cell>
          <cell r="Q88" t="str">
            <v>PY</v>
          </cell>
          <cell r="R88">
            <v>34281</v>
          </cell>
          <cell r="S88" t="str">
            <v>PY</v>
          </cell>
          <cell r="T88">
            <v>100000</v>
          </cell>
          <cell r="U88" t="str">
            <v>OVM</v>
          </cell>
          <cell r="V88">
            <v>5</v>
          </cell>
          <cell r="W88"/>
          <cell r="X88">
            <v>5.1113710969002372E-4</v>
          </cell>
          <cell r="Y88">
            <v>720</v>
          </cell>
          <cell r="Z88">
            <v>3600</v>
          </cell>
          <cell r="AA88">
            <v>0</v>
          </cell>
        </row>
        <row r="89">
          <cell r="A89">
            <v>87</v>
          </cell>
          <cell r="B89">
            <v>1045</v>
          </cell>
          <cell r="C89">
            <v>2024</v>
          </cell>
          <cell r="D89">
            <v>12</v>
          </cell>
          <cell r="E89" t="str">
            <v>Rojas Abreu, César Ricardo</v>
          </cell>
          <cell r="F89">
            <v>0</v>
          </cell>
          <cell r="G89">
            <v>1242403</v>
          </cell>
          <cell r="H89">
            <v>1243119</v>
          </cell>
          <cell r="I89">
            <v>1243</v>
          </cell>
          <cell r="J89">
            <v>1244</v>
          </cell>
          <cell r="K89">
            <v>1243.1189999999999</v>
          </cell>
          <cell r="L89">
            <v>881</v>
          </cell>
          <cell r="M89"/>
          <cell r="N89" t="str">
            <v>FISICA</v>
          </cell>
          <cell r="O89" t="str">
            <v>CI</v>
          </cell>
          <cell r="P89">
            <v>1919235</v>
          </cell>
          <cell r="Q89" t="str">
            <v>PY</v>
          </cell>
          <cell r="R89">
            <v>30587</v>
          </cell>
          <cell r="S89" t="str">
            <v>PY</v>
          </cell>
          <cell r="T89">
            <v>100000</v>
          </cell>
          <cell r="U89" t="str">
            <v>OVM</v>
          </cell>
          <cell r="V89">
            <v>5</v>
          </cell>
          <cell r="W89"/>
          <cell r="X89">
            <v>5.0900737173298198E-4</v>
          </cell>
          <cell r="Y89">
            <v>717</v>
          </cell>
          <cell r="Z89">
            <v>3585</v>
          </cell>
          <cell r="AA89">
            <v>0</v>
          </cell>
        </row>
        <row r="90">
          <cell r="A90">
            <v>88</v>
          </cell>
          <cell r="B90">
            <v>1045</v>
          </cell>
          <cell r="C90">
            <v>2024</v>
          </cell>
          <cell r="D90">
            <v>12</v>
          </cell>
          <cell r="E90" t="str">
            <v>Oxilia Aponte, Martín Enrique</v>
          </cell>
          <cell r="F90">
            <v>13</v>
          </cell>
          <cell r="G90">
            <v>1243120</v>
          </cell>
          <cell r="H90">
            <v>1243792</v>
          </cell>
          <cell r="I90">
            <v>1244</v>
          </cell>
          <cell r="J90">
            <v>1244</v>
          </cell>
          <cell r="K90">
            <v>1243.7919999999999</v>
          </cell>
          <cell r="L90">
            <v>208</v>
          </cell>
          <cell r="M90" t="str">
            <v xml:space="preserve">Hijos de Wanda Aponte </v>
          </cell>
          <cell r="N90" t="str">
            <v>FISICA</v>
          </cell>
          <cell r="O90" t="str">
            <v>CI</v>
          </cell>
          <cell r="P90">
            <v>2325476</v>
          </cell>
          <cell r="Q90" t="str">
            <v>PY</v>
          </cell>
          <cell r="R90">
            <v>20698</v>
          </cell>
          <cell r="S90" t="str">
            <v>PY</v>
          </cell>
          <cell r="T90">
            <v>100000</v>
          </cell>
          <cell r="U90" t="str">
            <v>OVM</v>
          </cell>
          <cell r="V90">
            <v>5</v>
          </cell>
          <cell r="W90"/>
          <cell r="X90">
            <v>4.7777121502970275E-4</v>
          </cell>
          <cell r="Y90">
            <v>673</v>
          </cell>
          <cell r="Z90">
            <v>3365</v>
          </cell>
          <cell r="AA90">
            <v>0</v>
          </cell>
        </row>
        <row r="91">
          <cell r="A91">
            <v>89</v>
          </cell>
          <cell r="B91">
            <v>1045</v>
          </cell>
          <cell r="C91">
            <v>2024</v>
          </cell>
          <cell r="D91">
            <v>12</v>
          </cell>
          <cell r="E91" t="str">
            <v>Fretes Núñez, Milciades Damian</v>
          </cell>
          <cell r="F91">
            <v>0</v>
          </cell>
          <cell r="G91">
            <v>1243793</v>
          </cell>
          <cell r="H91">
            <v>1244441</v>
          </cell>
          <cell r="I91">
            <v>1244</v>
          </cell>
          <cell r="J91">
            <v>1245</v>
          </cell>
          <cell r="K91">
            <v>1244.441</v>
          </cell>
          <cell r="L91">
            <v>559</v>
          </cell>
          <cell r="M91"/>
          <cell r="N91" t="str">
            <v>FISICA</v>
          </cell>
          <cell r="O91" t="str">
            <v>CI</v>
          </cell>
          <cell r="P91">
            <v>127863</v>
          </cell>
          <cell r="Q91" t="str">
            <v>PY</v>
          </cell>
          <cell r="R91">
            <v>32310</v>
          </cell>
          <cell r="S91" t="str">
            <v>PY</v>
          </cell>
          <cell r="T91">
            <v>100000</v>
          </cell>
          <cell r="U91" t="str">
            <v>OVM</v>
          </cell>
          <cell r="V91">
            <v>5</v>
          </cell>
          <cell r="W91"/>
          <cell r="X91">
            <v>4.6073331137336867E-4</v>
          </cell>
          <cell r="Y91">
            <v>649.00000000000011</v>
          </cell>
          <cell r="Z91">
            <v>3245.0000000000005</v>
          </cell>
          <cell r="AA91">
            <v>0</v>
          </cell>
        </row>
        <row r="92">
          <cell r="A92">
            <v>90</v>
          </cell>
          <cell r="B92">
            <v>1045</v>
          </cell>
          <cell r="C92">
            <v>2024</v>
          </cell>
          <cell r="D92">
            <v>12</v>
          </cell>
          <cell r="E92" t="str">
            <v>Rios Acosta, Denis Arsenio</v>
          </cell>
          <cell r="F92">
            <v>0</v>
          </cell>
          <cell r="G92">
            <v>1244442</v>
          </cell>
          <cell r="H92">
            <v>1245069</v>
          </cell>
          <cell r="I92">
            <v>1245</v>
          </cell>
          <cell r="J92">
            <v>1246</v>
          </cell>
          <cell r="K92">
            <v>1245.069</v>
          </cell>
          <cell r="L92">
            <v>931</v>
          </cell>
          <cell r="M92"/>
          <cell r="N92" t="str">
            <v>FISICA</v>
          </cell>
          <cell r="O92" t="str">
            <v>CI</v>
          </cell>
          <cell r="P92">
            <v>1265717</v>
          </cell>
          <cell r="Q92" t="str">
            <v>PY</v>
          </cell>
          <cell r="R92">
            <v>24699</v>
          </cell>
          <cell r="S92" t="str">
            <v>PY</v>
          </cell>
          <cell r="T92">
            <v>100000</v>
          </cell>
          <cell r="U92" t="str">
            <v>OVM</v>
          </cell>
          <cell r="V92">
            <v>5</v>
          </cell>
          <cell r="W92"/>
          <cell r="X92">
            <v>4.4582514567407627E-4</v>
          </cell>
          <cell r="Y92">
            <v>628</v>
          </cell>
          <cell r="Z92">
            <v>3140</v>
          </cell>
          <cell r="AA92">
            <v>0</v>
          </cell>
        </row>
        <row r="93">
          <cell r="A93">
            <v>91</v>
          </cell>
          <cell r="B93">
            <v>1045</v>
          </cell>
          <cell r="C93">
            <v>2024</v>
          </cell>
          <cell r="D93">
            <v>12</v>
          </cell>
          <cell r="E93" t="str">
            <v>Morel Fernandez, Cristhian Milciades</v>
          </cell>
          <cell r="F93">
            <v>0</v>
          </cell>
          <cell r="G93">
            <v>1245070</v>
          </cell>
          <cell r="H93">
            <v>1245669</v>
          </cell>
          <cell r="I93">
            <v>1246</v>
          </cell>
          <cell r="J93">
            <v>1246</v>
          </cell>
          <cell r="K93">
            <v>1245.6690000000001</v>
          </cell>
          <cell r="L93">
            <v>331</v>
          </cell>
          <cell r="M93"/>
          <cell r="N93" t="str">
            <v>FISICA</v>
          </cell>
          <cell r="O93" t="str">
            <v>CI</v>
          </cell>
          <cell r="P93">
            <v>4366731</v>
          </cell>
          <cell r="Q93" t="str">
            <v>PY</v>
          </cell>
          <cell r="R93">
            <v>31998</v>
          </cell>
          <cell r="S93" t="str">
            <v>PY</v>
          </cell>
          <cell r="T93">
            <v>100000</v>
          </cell>
          <cell r="U93" t="str">
            <v>OVM</v>
          </cell>
          <cell r="V93">
            <v>5</v>
          </cell>
          <cell r="W93"/>
          <cell r="X93">
            <v>4.259475914083531E-4</v>
          </cell>
          <cell r="Y93">
            <v>600</v>
          </cell>
          <cell r="Z93">
            <v>3000</v>
          </cell>
          <cell r="AA93">
            <v>0</v>
          </cell>
        </row>
        <row r="94">
          <cell r="A94">
            <v>92</v>
          </cell>
          <cell r="B94">
            <v>1045</v>
          </cell>
          <cell r="C94">
            <v>2024</v>
          </cell>
          <cell r="D94">
            <v>12</v>
          </cell>
          <cell r="E94" t="str">
            <v>Ojeda Rocha, Hector Daniel</v>
          </cell>
          <cell r="F94">
            <v>0</v>
          </cell>
          <cell r="G94">
            <v>1245670</v>
          </cell>
          <cell r="H94">
            <v>1246269</v>
          </cell>
          <cell r="I94">
            <v>1246</v>
          </cell>
          <cell r="J94">
            <v>1247</v>
          </cell>
          <cell r="K94">
            <v>1246.269</v>
          </cell>
          <cell r="L94">
            <v>731</v>
          </cell>
          <cell r="M94"/>
          <cell r="N94" t="str">
            <v>FISICA</v>
          </cell>
          <cell r="O94" t="str">
            <v>CI</v>
          </cell>
          <cell r="P94">
            <v>3638671</v>
          </cell>
          <cell r="Q94" t="str">
            <v>PY</v>
          </cell>
          <cell r="R94">
            <v>30855</v>
          </cell>
          <cell r="S94" t="str">
            <v>PY</v>
          </cell>
          <cell r="T94">
            <v>100000</v>
          </cell>
          <cell r="U94" t="str">
            <v>OVM</v>
          </cell>
          <cell r="V94">
            <v>5</v>
          </cell>
          <cell r="W94"/>
          <cell r="X94">
            <v>4.259475914083531E-4</v>
          </cell>
          <cell r="Y94">
            <v>600</v>
          </cell>
          <cell r="Z94">
            <v>3000</v>
          </cell>
          <cell r="AA94">
            <v>0</v>
          </cell>
        </row>
        <row r="95">
          <cell r="A95">
            <v>93</v>
          </cell>
          <cell r="B95">
            <v>1045</v>
          </cell>
          <cell r="C95">
            <v>2024</v>
          </cell>
          <cell r="D95">
            <v>12</v>
          </cell>
          <cell r="E95" t="str">
            <v>Léoz Insfrán, Óscar Eusebio</v>
          </cell>
          <cell r="F95">
            <v>14</v>
          </cell>
          <cell r="G95">
            <v>1246270</v>
          </cell>
          <cell r="H95">
            <v>1246786</v>
          </cell>
          <cell r="I95">
            <v>1247</v>
          </cell>
          <cell r="J95">
            <v>1247</v>
          </cell>
          <cell r="K95">
            <v>1246.7860000000001</v>
          </cell>
          <cell r="L95">
            <v>214</v>
          </cell>
          <cell r="M95" t="str">
            <v>Hermano de Asunción,Verónica y María</v>
          </cell>
          <cell r="N95" t="str">
            <v>FISICA</v>
          </cell>
          <cell r="O95" t="str">
            <v>CI</v>
          </cell>
          <cell r="P95">
            <v>430269</v>
          </cell>
          <cell r="Q95" t="str">
            <v>PY</v>
          </cell>
          <cell r="R95">
            <v>20997</v>
          </cell>
          <cell r="S95" t="str">
            <v>PY</v>
          </cell>
          <cell r="T95">
            <v>100000</v>
          </cell>
          <cell r="U95" t="str">
            <v>OVM</v>
          </cell>
          <cell r="V95">
            <v>5</v>
          </cell>
          <cell r="W95"/>
          <cell r="X95">
            <v>3.6702484126353093E-4</v>
          </cell>
          <cell r="Y95">
            <v>517</v>
          </cell>
          <cell r="Z95">
            <v>2585</v>
          </cell>
          <cell r="AA95">
            <v>0</v>
          </cell>
        </row>
        <row r="96">
          <cell r="A96">
            <v>94</v>
          </cell>
          <cell r="B96">
            <v>1045</v>
          </cell>
          <cell r="C96">
            <v>2024</v>
          </cell>
          <cell r="D96">
            <v>12</v>
          </cell>
          <cell r="E96" t="str">
            <v xml:space="preserve">Léoz de Chamorro, María Elina </v>
          </cell>
          <cell r="F96">
            <v>14</v>
          </cell>
          <cell r="G96">
            <v>1246787</v>
          </cell>
          <cell r="H96">
            <v>1247278</v>
          </cell>
          <cell r="I96">
            <v>1247</v>
          </cell>
          <cell r="J96">
            <v>1248</v>
          </cell>
          <cell r="K96">
            <v>1247.278</v>
          </cell>
          <cell r="L96">
            <v>722</v>
          </cell>
          <cell r="M96" t="str">
            <v>Hermana de Asunción, Verónica y Óscar</v>
          </cell>
          <cell r="N96" t="str">
            <v>FISICA</v>
          </cell>
          <cell r="O96" t="str">
            <v>CI</v>
          </cell>
          <cell r="P96">
            <v>631294</v>
          </cell>
          <cell r="Q96" t="str">
            <v>PY</v>
          </cell>
          <cell r="R96">
            <v>21822</v>
          </cell>
          <cell r="S96" t="str">
            <v>PY</v>
          </cell>
          <cell r="T96">
            <v>100000</v>
          </cell>
          <cell r="U96" t="str">
            <v>OVM</v>
          </cell>
          <cell r="V96">
            <v>5</v>
          </cell>
          <cell r="W96"/>
          <cell r="X96">
            <v>3.4927702495484954E-4</v>
          </cell>
          <cell r="Y96">
            <v>492</v>
          </cell>
          <cell r="Z96">
            <v>2460</v>
          </cell>
          <cell r="AA96">
            <v>0</v>
          </cell>
        </row>
        <row r="97">
          <cell r="A97">
            <v>95</v>
          </cell>
          <cell r="B97">
            <v>1045</v>
          </cell>
          <cell r="C97">
            <v>2024</v>
          </cell>
          <cell r="D97">
            <v>12</v>
          </cell>
          <cell r="E97" t="str">
            <v>Léoz Insfrán, María Asunción</v>
          </cell>
          <cell r="F97">
            <v>14</v>
          </cell>
          <cell r="G97">
            <v>1247279</v>
          </cell>
          <cell r="H97">
            <v>1247746</v>
          </cell>
          <cell r="I97">
            <v>1248</v>
          </cell>
          <cell r="J97">
            <v>1248</v>
          </cell>
          <cell r="K97">
            <v>1247.7460000000001</v>
          </cell>
          <cell r="L97">
            <v>254</v>
          </cell>
          <cell r="M97" t="str">
            <v>Hermana de María, Verónica y Óscar</v>
          </cell>
          <cell r="N97" t="str">
            <v>FISICA</v>
          </cell>
          <cell r="O97" t="str">
            <v>CI</v>
          </cell>
          <cell r="P97">
            <v>996466</v>
          </cell>
          <cell r="Q97" t="str">
            <v>PY</v>
          </cell>
          <cell r="R97">
            <v>33562</v>
          </cell>
          <cell r="S97" t="str">
            <v>PY</v>
          </cell>
          <cell r="T97">
            <v>100000</v>
          </cell>
          <cell r="U97" t="str">
            <v>OVM</v>
          </cell>
          <cell r="V97">
            <v>5</v>
          </cell>
          <cell r="W97"/>
          <cell r="X97">
            <v>3.3223912129851541E-4</v>
          </cell>
          <cell r="Y97">
            <v>468</v>
          </cell>
          <cell r="Z97">
            <v>2340</v>
          </cell>
          <cell r="AA97">
            <v>0</v>
          </cell>
        </row>
        <row r="98">
          <cell r="A98">
            <v>96</v>
          </cell>
          <cell r="B98">
            <v>1045</v>
          </cell>
          <cell r="C98">
            <v>2024</v>
          </cell>
          <cell r="D98">
            <v>12</v>
          </cell>
          <cell r="E98" t="str">
            <v>Léoz de Lezcano, Verónica Rosa</v>
          </cell>
          <cell r="F98">
            <v>14</v>
          </cell>
          <cell r="G98">
            <v>1247747</v>
          </cell>
          <cell r="H98">
            <v>1248214</v>
          </cell>
          <cell r="I98">
            <v>1248</v>
          </cell>
          <cell r="J98">
            <v>1249</v>
          </cell>
          <cell r="K98">
            <v>1248.2139999999999</v>
          </cell>
          <cell r="L98">
            <v>786</v>
          </cell>
          <cell r="M98" t="str">
            <v>Hermana de Asunción, María y Óscar</v>
          </cell>
          <cell r="N98" t="str">
            <v>FISICA</v>
          </cell>
          <cell r="O98" t="str">
            <v>CI</v>
          </cell>
          <cell r="P98">
            <v>796282</v>
          </cell>
          <cell r="Q98" t="str">
            <v>PY</v>
          </cell>
          <cell r="R98">
            <v>32321</v>
          </cell>
          <cell r="S98" t="str">
            <v>PY</v>
          </cell>
          <cell r="T98">
            <v>100000</v>
          </cell>
          <cell r="U98" t="str">
            <v>OVM</v>
          </cell>
          <cell r="V98">
            <v>5</v>
          </cell>
          <cell r="W98"/>
          <cell r="X98">
            <v>3.3223912129851541E-4</v>
          </cell>
          <cell r="Y98">
            <v>468</v>
          </cell>
          <cell r="Z98">
            <v>2340</v>
          </cell>
          <cell r="AA98">
            <v>0</v>
          </cell>
        </row>
        <row r="99">
          <cell r="A99">
            <v>97</v>
          </cell>
          <cell r="B99">
            <v>1045</v>
          </cell>
          <cell r="C99">
            <v>2024</v>
          </cell>
          <cell r="D99">
            <v>12</v>
          </cell>
          <cell r="E99" t="str">
            <v>Velilla Barreto, Manuel Antonio</v>
          </cell>
          <cell r="F99">
            <v>0</v>
          </cell>
          <cell r="G99">
            <v>1248215</v>
          </cell>
          <cell r="H99">
            <v>1248669</v>
          </cell>
          <cell r="I99">
            <v>1249</v>
          </cell>
          <cell r="J99">
            <v>1249</v>
          </cell>
          <cell r="K99">
            <v>1248.6690000000001</v>
          </cell>
          <cell r="L99">
            <v>331</v>
          </cell>
          <cell r="M99"/>
          <cell r="N99" t="str">
            <v>FISICA</v>
          </cell>
          <cell r="O99" t="str">
            <v>CI</v>
          </cell>
          <cell r="P99">
            <v>716735</v>
          </cell>
          <cell r="Q99" t="str">
            <v>PY</v>
          </cell>
          <cell r="R99">
            <v>30990</v>
          </cell>
          <cell r="S99" t="str">
            <v>PY</v>
          </cell>
          <cell r="T99">
            <v>100000</v>
          </cell>
          <cell r="U99" t="str">
            <v>OVM</v>
          </cell>
          <cell r="V99">
            <v>5</v>
          </cell>
          <cell r="W99"/>
          <cell r="X99">
            <v>3.230102568180011E-4</v>
          </cell>
          <cell r="Y99">
            <v>455</v>
          </cell>
          <cell r="Z99">
            <v>2275</v>
          </cell>
          <cell r="AA99">
            <v>0</v>
          </cell>
        </row>
        <row r="100">
          <cell r="A100">
            <v>98</v>
          </cell>
          <cell r="B100">
            <v>1045</v>
          </cell>
          <cell r="C100">
            <v>2024</v>
          </cell>
          <cell r="D100">
            <v>12</v>
          </cell>
          <cell r="E100" t="str">
            <v>Pecci Angulo, Antonio Luis Felix</v>
          </cell>
          <cell r="F100">
            <v>12</v>
          </cell>
          <cell r="G100">
            <v>1248670</v>
          </cell>
          <cell r="H100">
            <v>1249123</v>
          </cell>
          <cell r="I100">
            <v>1249</v>
          </cell>
          <cell r="J100">
            <v>1250</v>
          </cell>
          <cell r="K100">
            <v>1249.123</v>
          </cell>
          <cell r="L100">
            <v>877</v>
          </cell>
          <cell r="M100" t="str">
            <v>Hija de Leonor Angulo</v>
          </cell>
          <cell r="N100" t="str">
            <v>FISICA</v>
          </cell>
          <cell r="O100" t="str">
            <v>CI</v>
          </cell>
          <cell r="P100">
            <v>3205185</v>
          </cell>
          <cell r="Q100" t="str">
            <v>PY</v>
          </cell>
          <cell r="R100">
            <v>34103</v>
          </cell>
          <cell r="S100" t="str">
            <v>PY</v>
          </cell>
          <cell r="T100">
            <v>100000</v>
          </cell>
          <cell r="U100" t="str">
            <v>OVM</v>
          </cell>
          <cell r="V100">
            <v>5</v>
          </cell>
          <cell r="W100"/>
          <cell r="X100">
            <v>3.2230034416565385E-4</v>
          </cell>
          <cell r="Y100">
            <v>454</v>
          </cell>
          <cell r="Z100">
            <v>2270</v>
          </cell>
          <cell r="AA100">
            <v>0</v>
          </cell>
        </row>
        <row r="101">
          <cell r="A101">
            <v>99</v>
          </cell>
          <cell r="B101">
            <v>1045</v>
          </cell>
          <cell r="C101">
            <v>2024</v>
          </cell>
          <cell r="D101">
            <v>12</v>
          </cell>
          <cell r="E101" t="str">
            <v xml:space="preserve">Pecci Angulo, Karina Beatriz MarÍa </v>
          </cell>
          <cell r="F101">
            <v>12</v>
          </cell>
          <cell r="G101">
            <v>1249124</v>
          </cell>
          <cell r="H101">
            <v>1249577</v>
          </cell>
          <cell r="I101">
            <v>1250</v>
          </cell>
          <cell r="J101">
            <v>1250</v>
          </cell>
          <cell r="K101">
            <v>1249.577</v>
          </cell>
          <cell r="L101">
            <v>423</v>
          </cell>
          <cell r="M101" t="str">
            <v>Hija de Leonor Angulo</v>
          </cell>
          <cell r="N101" t="str">
            <v>FISICA</v>
          </cell>
          <cell r="O101" t="str">
            <v>CI</v>
          </cell>
          <cell r="P101">
            <v>2354736</v>
          </cell>
          <cell r="Q101" t="str">
            <v>PY</v>
          </cell>
          <cell r="R101">
            <v>24948</v>
          </cell>
          <cell r="S101" t="str">
            <v>PY</v>
          </cell>
          <cell r="T101">
            <v>100000</v>
          </cell>
          <cell r="U101" t="str">
            <v>OVM</v>
          </cell>
          <cell r="V101">
            <v>5</v>
          </cell>
          <cell r="W101"/>
          <cell r="X101">
            <v>3.2230034416565385E-4</v>
          </cell>
          <cell r="Y101">
            <v>454</v>
          </cell>
          <cell r="Z101">
            <v>2270</v>
          </cell>
          <cell r="AA101">
            <v>0</v>
          </cell>
        </row>
        <row r="102">
          <cell r="A102">
            <v>100</v>
          </cell>
          <cell r="B102">
            <v>1045</v>
          </cell>
          <cell r="C102">
            <v>2024</v>
          </cell>
          <cell r="D102">
            <v>12</v>
          </cell>
          <cell r="E102" t="str">
            <v>Pecci Angulo, Veronica Patricia María</v>
          </cell>
          <cell r="F102">
            <v>12</v>
          </cell>
          <cell r="G102">
            <v>1249578</v>
          </cell>
          <cell r="H102">
            <v>1250031</v>
          </cell>
          <cell r="I102">
            <v>1250</v>
          </cell>
          <cell r="J102">
            <v>1251</v>
          </cell>
          <cell r="K102">
            <v>1250.0309999999999</v>
          </cell>
          <cell r="L102">
            <v>969</v>
          </cell>
          <cell r="M102" t="str">
            <v>Hija de Leonor Angulo</v>
          </cell>
          <cell r="N102" t="str">
            <v>FISICA</v>
          </cell>
          <cell r="O102" t="str">
            <v>CI</v>
          </cell>
          <cell r="P102">
            <v>3532199</v>
          </cell>
          <cell r="Q102" t="str">
            <v>PY</v>
          </cell>
          <cell r="R102">
            <v>11266</v>
          </cell>
          <cell r="S102" t="str">
            <v>PY</v>
          </cell>
          <cell r="T102">
            <v>100000</v>
          </cell>
          <cell r="U102" t="str">
            <v>OVM</v>
          </cell>
          <cell r="V102">
            <v>5</v>
          </cell>
          <cell r="W102"/>
          <cell r="X102">
            <v>3.2230034416565385E-4</v>
          </cell>
          <cell r="Y102">
            <v>454</v>
          </cell>
          <cell r="Z102">
            <v>2270</v>
          </cell>
          <cell r="AA102">
            <v>0</v>
          </cell>
        </row>
        <row r="103">
          <cell r="A103">
            <v>101</v>
          </cell>
          <cell r="B103">
            <v>1045</v>
          </cell>
          <cell r="C103">
            <v>2024</v>
          </cell>
          <cell r="D103">
            <v>12</v>
          </cell>
          <cell r="E103" t="str">
            <v>Gulino Klein, Osvaldo Javier</v>
          </cell>
          <cell r="F103">
            <v>9</v>
          </cell>
          <cell r="G103">
            <v>1250032</v>
          </cell>
          <cell r="H103">
            <v>1250292</v>
          </cell>
          <cell r="I103">
            <v>1251</v>
          </cell>
          <cell r="J103">
            <v>1251</v>
          </cell>
          <cell r="K103">
            <v>1250.2919999999999</v>
          </cell>
          <cell r="L103">
            <v>708</v>
          </cell>
          <cell r="M103" t="str">
            <v>Hijo de Salvador Gulino Alfieri y Elena Klein de Gulino</v>
          </cell>
          <cell r="N103" t="str">
            <v>FISICA</v>
          </cell>
          <cell r="O103" t="str">
            <v>CI</v>
          </cell>
          <cell r="P103">
            <v>716987</v>
          </cell>
          <cell r="Q103" t="str">
            <v>PY</v>
          </cell>
          <cell r="R103">
            <v>25375</v>
          </cell>
          <cell r="S103" t="str">
            <v>PY</v>
          </cell>
          <cell r="T103">
            <v>100000</v>
          </cell>
          <cell r="U103" t="str">
            <v>OVM</v>
          </cell>
          <cell r="V103">
            <v>5</v>
          </cell>
          <cell r="W103"/>
          <cell r="X103">
            <v>1.8528720226263361E-4</v>
          </cell>
          <cell r="Y103">
            <v>261</v>
          </cell>
          <cell r="Z103">
            <v>1305</v>
          </cell>
          <cell r="AA103">
            <v>0</v>
          </cell>
        </row>
        <row r="104">
          <cell r="A104">
            <v>102</v>
          </cell>
          <cell r="B104">
            <v>1045</v>
          </cell>
          <cell r="C104">
            <v>2024</v>
          </cell>
          <cell r="D104">
            <v>12</v>
          </cell>
          <cell r="E104" t="str">
            <v>Mereles Gaona, Carlos María</v>
          </cell>
          <cell r="F104">
            <v>0</v>
          </cell>
          <cell r="G104">
            <v>1250293</v>
          </cell>
          <cell r="H104">
            <v>1250474</v>
          </cell>
          <cell r="I104">
            <v>1251</v>
          </cell>
          <cell r="J104">
            <v>1251</v>
          </cell>
          <cell r="K104">
            <v>1250.4739999999999</v>
          </cell>
          <cell r="L104">
            <v>526</v>
          </cell>
          <cell r="M104"/>
          <cell r="N104" t="str">
            <v>FISICA</v>
          </cell>
          <cell r="O104" t="str">
            <v>CI</v>
          </cell>
          <cell r="P104">
            <v>69033</v>
          </cell>
          <cell r="Q104" t="str">
            <v>PY</v>
          </cell>
          <cell r="R104">
            <v>33974</v>
          </cell>
          <cell r="S104" t="str">
            <v>PY</v>
          </cell>
          <cell r="T104">
            <v>100000</v>
          </cell>
          <cell r="U104" t="str">
            <v>OVM</v>
          </cell>
          <cell r="V104">
            <v>5</v>
          </cell>
          <cell r="W104"/>
          <cell r="X104">
            <v>1.2920410272720045E-4</v>
          </cell>
          <cell r="Y104">
            <v>182</v>
          </cell>
          <cell r="Z104">
            <v>910</v>
          </cell>
          <cell r="AA104">
            <v>0</v>
          </cell>
        </row>
        <row r="105">
          <cell r="A105">
            <v>103</v>
          </cell>
          <cell r="B105">
            <v>1045</v>
          </cell>
          <cell r="C105">
            <v>2024</v>
          </cell>
          <cell r="D105">
            <v>12</v>
          </cell>
          <cell r="E105" t="str">
            <v>Oxilia Aponte, Sabrina María</v>
          </cell>
          <cell r="F105">
            <v>13</v>
          </cell>
          <cell r="G105">
            <v>1250475</v>
          </cell>
          <cell r="H105">
            <v>1250654</v>
          </cell>
          <cell r="I105">
            <v>1251</v>
          </cell>
          <cell r="J105">
            <v>1251</v>
          </cell>
          <cell r="K105">
            <v>1250.654</v>
          </cell>
          <cell r="L105">
            <v>346</v>
          </cell>
          <cell r="M105" t="str">
            <v xml:space="preserve">Hija de Wanda Aponte </v>
          </cell>
          <cell r="N105" t="str">
            <v>FISICA</v>
          </cell>
          <cell r="O105" t="str">
            <v>CI</v>
          </cell>
          <cell r="P105">
            <v>3633659</v>
          </cell>
          <cell r="Q105" t="str">
            <v>PY</v>
          </cell>
          <cell r="R105">
            <v>23039</v>
          </cell>
          <cell r="S105" t="str">
            <v>PY</v>
          </cell>
          <cell r="T105">
            <v>100000</v>
          </cell>
          <cell r="U105" t="str">
            <v>OVM</v>
          </cell>
          <cell r="V105">
            <v>5</v>
          </cell>
          <cell r="W105"/>
          <cell r="X105">
            <v>1.2778427742250593E-4</v>
          </cell>
          <cell r="Y105">
            <v>180</v>
          </cell>
          <cell r="Z105">
            <v>900</v>
          </cell>
          <cell r="AA105">
            <v>0</v>
          </cell>
        </row>
        <row r="106">
          <cell r="A106">
            <v>104</v>
          </cell>
          <cell r="B106">
            <v>1045</v>
          </cell>
          <cell r="C106">
            <v>2024</v>
          </cell>
          <cell r="D106">
            <v>12</v>
          </cell>
          <cell r="E106" t="str">
            <v>Díaz Benza Silvera, María José</v>
          </cell>
          <cell r="F106">
            <v>4</v>
          </cell>
          <cell r="G106">
            <v>1250655</v>
          </cell>
          <cell r="H106">
            <v>1250774</v>
          </cell>
          <cell r="I106">
            <v>1251</v>
          </cell>
          <cell r="J106">
            <v>1251</v>
          </cell>
          <cell r="K106">
            <v>1250.7739999999999</v>
          </cell>
          <cell r="L106">
            <v>226</v>
          </cell>
          <cell r="M106" t="str">
            <v>Hija de Esther Silvera de Díaz Benza</v>
          </cell>
          <cell r="N106" t="str">
            <v>FISICA</v>
          </cell>
          <cell r="O106" t="str">
            <v>CI</v>
          </cell>
          <cell r="P106">
            <v>3569024</v>
          </cell>
          <cell r="Q106" t="str">
            <v>PY</v>
          </cell>
          <cell r="R106">
            <v>30296</v>
          </cell>
          <cell r="S106" t="str">
            <v>PY</v>
          </cell>
          <cell r="T106">
            <v>100000</v>
          </cell>
          <cell r="U106" t="str">
            <v>OVM</v>
          </cell>
          <cell r="V106">
            <v>5</v>
          </cell>
          <cell r="W106"/>
          <cell r="X106">
            <v>8.5189518281670619E-5</v>
          </cell>
          <cell r="Y106">
            <v>120</v>
          </cell>
          <cell r="Z106">
            <v>600</v>
          </cell>
          <cell r="AA106">
            <v>0</v>
          </cell>
        </row>
        <row r="107">
          <cell r="A107">
            <v>105</v>
          </cell>
          <cell r="B107">
            <v>1045</v>
          </cell>
          <cell r="C107">
            <v>2024</v>
          </cell>
          <cell r="D107">
            <v>12</v>
          </cell>
          <cell r="E107" t="str">
            <v>Díaz Benza Silvera, David Ismael</v>
          </cell>
          <cell r="F107">
            <v>4</v>
          </cell>
          <cell r="G107">
            <v>1250775</v>
          </cell>
          <cell r="H107">
            <v>1250882</v>
          </cell>
          <cell r="I107">
            <v>1251</v>
          </cell>
          <cell r="J107">
            <v>1251</v>
          </cell>
          <cell r="K107">
            <v>1250.8820000000001</v>
          </cell>
          <cell r="L107">
            <v>118</v>
          </cell>
          <cell r="M107" t="str">
            <v>Hija de Esther Silvera de Díaz Benza</v>
          </cell>
          <cell r="N107" t="str">
            <v>FISICA</v>
          </cell>
          <cell r="O107" t="str">
            <v>CI</v>
          </cell>
          <cell r="P107">
            <v>3965787</v>
          </cell>
          <cell r="Q107" t="str">
            <v>PY</v>
          </cell>
          <cell r="R107">
            <v>32515</v>
          </cell>
          <cell r="S107" t="str">
            <v>PY</v>
          </cell>
          <cell r="T107">
            <v>100000</v>
          </cell>
          <cell r="U107" t="str">
            <v>OVM</v>
          </cell>
          <cell r="V107">
            <v>5</v>
          </cell>
          <cell r="W107"/>
          <cell r="X107">
            <v>7.6670566453503565E-5</v>
          </cell>
          <cell r="Y107">
            <v>108</v>
          </cell>
          <cell r="Z107">
            <v>540</v>
          </cell>
          <cell r="AA107">
            <v>0</v>
          </cell>
        </row>
        <row r="108">
          <cell r="A108">
            <v>106</v>
          </cell>
          <cell r="B108">
            <v>1045</v>
          </cell>
          <cell r="C108">
            <v>2024</v>
          </cell>
          <cell r="D108">
            <v>12</v>
          </cell>
          <cell r="E108" t="str">
            <v>Díaz Benza Silvera, Lorena María Cristina</v>
          </cell>
          <cell r="F108">
            <v>4</v>
          </cell>
          <cell r="G108">
            <v>1250883</v>
          </cell>
          <cell r="H108">
            <v>1250989</v>
          </cell>
          <cell r="I108">
            <v>1251</v>
          </cell>
          <cell r="J108">
            <v>1251</v>
          </cell>
          <cell r="K108">
            <v>1250.989</v>
          </cell>
          <cell r="L108">
            <v>11</v>
          </cell>
          <cell r="M108" t="str">
            <v>Hija de Esther Silvera de Díaz Benza</v>
          </cell>
          <cell r="N108" t="str">
            <v>FISICA</v>
          </cell>
          <cell r="O108" t="str">
            <v>CI</v>
          </cell>
          <cell r="P108">
            <v>2836161</v>
          </cell>
          <cell r="Q108" t="str">
            <v>PY</v>
          </cell>
          <cell r="R108">
            <v>29392</v>
          </cell>
          <cell r="S108" t="str">
            <v>PY</v>
          </cell>
          <cell r="T108">
            <v>100000</v>
          </cell>
          <cell r="U108" t="str">
            <v>OVM</v>
          </cell>
          <cell r="V108">
            <v>5</v>
          </cell>
          <cell r="W108"/>
          <cell r="X108">
            <v>7.5960653801156305E-5</v>
          </cell>
          <cell r="Y108">
            <v>107</v>
          </cell>
          <cell r="Z108">
            <v>535</v>
          </cell>
          <cell r="AA108">
            <v>0</v>
          </cell>
        </row>
        <row r="109">
          <cell r="A109">
            <v>107</v>
          </cell>
          <cell r="B109">
            <v>1045</v>
          </cell>
          <cell r="C109">
            <v>2024</v>
          </cell>
          <cell r="D109">
            <v>12</v>
          </cell>
          <cell r="E109" t="str">
            <v>Díaz Benza Silvera, María Soledad</v>
          </cell>
          <cell r="F109">
            <v>4</v>
          </cell>
          <cell r="G109">
            <v>1250990</v>
          </cell>
          <cell r="H109">
            <v>1251084</v>
          </cell>
          <cell r="I109">
            <v>1251</v>
          </cell>
          <cell r="J109">
            <v>1252</v>
          </cell>
          <cell r="K109">
            <v>1251.0840000000001</v>
          </cell>
          <cell r="L109">
            <v>916</v>
          </cell>
          <cell r="M109" t="str">
            <v>Hija de Esther Silvera de Díaz Benza</v>
          </cell>
          <cell r="N109" t="str">
            <v>FISICA</v>
          </cell>
          <cell r="O109" t="str">
            <v>CI</v>
          </cell>
          <cell r="P109">
            <v>2836155</v>
          </cell>
          <cell r="Q109" t="str">
            <v>PY</v>
          </cell>
          <cell r="R109">
            <v>29393</v>
          </cell>
          <cell r="S109" t="str">
            <v>PY</v>
          </cell>
          <cell r="T109">
            <v>100000</v>
          </cell>
          <cell r="U109" t="str">
            <v>OVM</v>
          </cell>
          <cell r="V109">
            <v>5</v>
          </cell>
          <cell r="W109"/>
          <cell r="X109">
            <v>6.7441701972989238E-5</v>
          </cell>
          <cell r="Y109">
            <v>95</v>
          </cell>
          <cell r="Z109">
            <v>475</v>
          </cell>
          <cell r="AA109">
            <v>0</v>
          </cell>
        </row>
        <row r="110">
          <cell r="A110">
            <v>108</v>
          </cell>
          <cell r="B110">
            <v>1045</v>
          </cell>
          <cell r="C110">
            <v>2024</v>
          </cell>
          <cell r="D110">
            <v>12</v>
          </cell>
          <cell r="E110" t="str">
            <v>Díaz Benza Silvera, Gabriela María Inés</v>
          </cell>
          <cell r="F110">
            <v>4</v>
          </cell>
          <cell r="G110">
            <v>1251085</v>
          </cell>
          <cell r="H110">
            <v>1251174</v>
          </cell>
          <cell r="I110">
            <v>1252</v>
          </cell>
          <cell r="J110">
            <v>1252</v>
          </cell>
          <cell r="K110">
            <v>1251.174</v>
          </cell>
          <cell r="L110">
            <v>826</v>
          </cell>
          <cell r="M110" t="str">
            <v>Hija de Esther Silvera de Díaz Benza</v>
          </cell>
          <cell r="N110" t="str">
            <v>FISICA</v>
          </cell>
          <cell r="O110" t="str">
            <v>CI</v>
          </cell>
          <cell r="P110">
            <v>2836154</v>
          </cell>
          <cell r="Q110" t="str">
            <v>PY</v>
          </cell>
          <cell r="R110">
            <v>29395</v>
          </cell>
          <cell r="S110" t="str">
            <v>PY</v>
          </cell>
          <cell r="T110">
            <v>100000</v>
          </cell>
          <cell r="U110" t="str">
            <v>OVM</v>
          </cell>
          <cell r="V110">
            <v>5</v>
          </cell>
          <cell r="W110"/>
          <cell r="X110">
            <v>6.3892138711252964E-5</v>
          </cell>
          <cell r="Y110">
            <v>90</v>
          </cell>
          <cell r="Z110">
            <v>450</v>
          </cell>
          <cell r="AA110">
            <v>0</v>
          </cell>
        </row>
        <row r="111">
          <cell r="A111">
            <v>109</v>
          </cell>
          <cell r="B111">
            <v>1045</v>
          </cell>
          <cell r="C111">
            <v>2024</v>
          </cell>
          <cell r="D111">
            <v>12</v>
          </cell>
          <cell r="E111" t="str">
            <v>Díaz Benza Silvera, Fátima M. Alejandra</v>
          </cell>
          <cell r="F111">
            <v>4</v>
          </cell>
          <cell r="G111">
            <v>1251175</v>
          </cell>
          <cell r="H111">
            <v>1251261</v>
          </cell>
          <cell r="I111">
            <v>1252</v>
          </cell>
          <cell r="J111">
            <v>1252</v>
          </cell>
          <cell r="K111">
            <v>1251.261</v>
          </cell>
          <cell r="L111">
            <v>739</v>
          </cell>
          <cell r="M111" t="str">
            <v>Hija de Esther Silvera de Díaz Benza</v>
          </cell>
          <cell r="N111" t="str">
            <v>FISICA</v>
          </cell>
          <cell r="O111" t="str">
            <v>CI</v>
          </cell>
          <cell r="P111">
            <v>2836153</v>
          </cell>
          <cell r="Q111" t="str">
            <v>PY</v>
          </cell>
          <cell r="R111">
            <v>29394</v>
          </cell>
          <cell r="S111" t="str">
            <v>PY</v>
          </cell>
          <cell r="T111">
            <v>100000</v>
          </cell>
          <cell r="U111" t="str">
            <v>OVM</v>
          </cell>
          <cell r="V111">
            <v>5</v>
          </cell>
          <cell r="W111"/>
          <cell r="X111">
            <v>6.1762400754211198E-5</v>
          </cell>
          <cell r="Y111">
            <v>87</v>
          </cell>
          <cell r="Z111">
            <v>435</v>
          </cell>
          <cell r="AA111">
            <v>0</v>
          </cell>
        </row>
        <row r="112">
          <cell r="A112">
            <v>110</v>
          </cell>
          <cell r="B112">
            <v>1045</v>
          </cell>
          <cell r="C112">
            <v>2024</v>
          </cell>
          <cell r="D112">
            <v>6</v>
          </cell>
          <cell r="E112" t="str">
            <v>Martinez Sabe, Luis Alberto</v>
          </cell>
          <cell r="F112"/>
          <cell r="G112">
            <v>1</v>
          </cell>
          <cell r="H112">
            <v>10000</v>
          </cell>
          <cell r="I112">
            <v>1</v>
          </cell>
          <cell r="J112">
            <v>10</v>
          </cell>
          <cell r="K112">
            <v>10</v>
          </cell>
          <cell r="L112">
            <v>0</v>
          </cell>
          <cell r="M112"/>
          <cell r="N112" t="str">
            <v>FISICA</v>
          </cell>
          <cell r="O112" t="str">
            <v>CI</v>
          </cell>
          <cell r="P112">
            <v>210097</v>
          </cell>
          <cell r="Q112" t="str">
            <v>PY</v>
          </cell>
          <cell r="R112">
            <v>15879</v>
          </cell>
          <cell r="S112" t="str">
            <v>PY</v>
          </cell>
          <cell r="T112">
            <v>100000</v>
          </cell>
          <cell r="U112" t="str">
            <v>PSV-A</v>
          </cell>
          <cell r="V112">
            <v>0</v>
          </cell>
          <cell r="W112"/>
          <cell r="X112">
            <v>7.0991265234725516E-3</v>
          </cell>
          <cell r="Y112">
            <v>10000</v>
          </cell>
          <cell r="Z112">
            <v>0</v>
          </cell>
          <cell r="AA112">
            <v>0</v>
          </cell>
        </row>
        <row r="113">
          <cell r="A113">
            <v>111</v>
          </cell>
          <cell r="B113">
            <v>1045</v>
          </cell>
          <cell r="C113">
            <v>2024</v>
          </cell>
          <cell r="D113">
            <v>6</v>
          </cell>
          <cell r="E113" t="str">
            <v>Platina Paraguay S.A.</v>
          </cell>
          <cell r="F113"/>
          <cell r="G113">
            <v>10001</v>
          </cell>
          <cell r="H113">
            <v>15000</v>
          </cell>
          <cell r="I113">
            <v>10</v>
          </cell>
          <cell r="J113">
            <v>15</v>
          </cell>
          <cell r="K113">
            <v>15</v>
          </cell>
          <cell r="L113">
            <v>5000</v>
          </cell>
          <cell r="M113"/>
          <cell r="N113" t="str">
            <v>JURÍDICA</v>
          </cell>
          <cell r="O113" t="str">
            <v>RUC</v>
          </cell>
          <cell r="P113" t="str">
            <v>80048953-5</v>
          </cell>
          <cell r="Q113" t="str">
            <v>PY</v>
          </cell>
          <cell r="R113">
            <v>39478</v>
          </cell>
          <cell r="S113" t="str">
            <v>PY</v>
          </cell>
          <cell r="T113">
            <v>100000</v>
          </cell>
          <cell r="U113" t="str">
            <v>PSV-A</v>
          </cell>
          <cell r="V113">
            <v>0</v>
          </cell>
          <cell r="W113"/>
          <cell r="X113">
            <v>3.5495632617362758E-3</v>
          </cell>
          <cell r="Y113">
            <v>5000</v>
          </cell>
          <cell r="Z113">
            <v>0</v>
          </cell>
          <cell r="AA113">
            <v>0</v>
          </cell>
        </row>
        <row r="114">
          <cell r="A114">
            <v>112</v>
          </cell>
          <cell r="B114">
            <v>1045</v>
          </cell>
          <cell r="C114">
            <v>2024</v>
          </cell>
          <cell r="D114">
            <v>6</v>
          </cell>
          <cell r="E114" t="str">
            <v xml:space="preserve">Arias Diez Perez, Jose Luis </v>
          </cell>
          <cell r="F114"/>
          <cell r="G114">
            <v>15001</v>
          </cell>
          <cell r="H114">
            <v>20000</v>
          </cell>
          <cell r="I114">
            <v>15</v>
          </cell>
          <cell r="J114">
            <v>20</v>
          </cell>
          <cell r="K114">
            <v>20</v>
          </cell>
          <cell r="L114">
            <v>5000</v>
          </cell>
          <cell r="M114"/>
          <cell r="N114" t="str">
            <v>FISICA</v>
          </cell>
          <cell r="O114" t="str">
            <v>CI</v>
          </cell>
          <cell r="P114">
            <v>1045951</v>
          </cell>
          <cell r="Q114" t="str">
            <v>PY</v>
          </cell>
          <cell r="R114">
            <v>25099</v>
          </cell>
          <cell r="S114" t="str">
            <v>PY</v>
          </cell>
          <cell r="T114">
            <v>100000</v>
          </cell>
          <cell r="U114" t="str">
            <v>PSV-A</v>
          </cell>
          <cell r="V114">
            <v>0</v>
          </cell>
          <cell r="W114">
            <v>0</v>
          </cell>
          <cell r="X114">
            <v>3.5495632617362758E-3</v>
          </cell>
          <cell r="Y114">
            <v>5000</v>
          </cell>
          <cell r="Z114">
            <v>0</v>
          </cell>
          <cell r="AA114">
            <v>0</v>
          </cell>
        </row>
        <row r="115">
          <cell r="A115">
            <v>113</v>
          </cell>
          <cell r="B115">
            <v>1045</v>
          </cell>
          <cell r="C115">
            <v>2024</v>
          </cell>
          <cell r="D115">
            <v>6</v>
          </cell>
          <cell r="E115" t="str">
            <v>Mendoza Gonzalez, Derlis Milciades</v>
          </cell>
          <cell r="F115"/>
          <cell r="G115">
            <v>20001</v>
          </cell>
          <cell r="H115">
            <v>22500</v>
          </cell>
          <cell r="I115">
            <v>20</v>
          </cell>
          <cell r="J115">
            <v>23</v>
          </cell>
          <cell r="K115">
            <v>22.5</v>
          </cell>
          <cell r="L115">
            <v>3000</v>
          </cell>
          <cell r="M115"/>
          <cell r="N115" t="str">
            <v>FISICA</v>
          </cell>
          <cell r="O115" t="str">
            <v>CI</v>
          </cell>
          <cell r="P115">
            <v>3608828</v>
          </cell>
          <cell r="Q115" t="str">
            <v>PY</v>
          </cell>
          <cell r="R115">
            <v>30330</v>
          </cell>
          <cell r="S115" t="str">
            <v>PY</v>
          </cell>
          <cell r="T115">
            <v>100000</v>
          </cell>
          <cell r="U115" t="str">
            <v>PSV-A</v>
          </cell>
          <cell r="V115">
            <v>0</v>
          </cell>
          <cell r="W115"/>
          <cell r="X115">
            <v>1.7747816308681379E-3</v>
          </cell>
          <cell r="Y115">
            <v>2500</v>
          </cell>
          <cell r="Z115">
            <v>0</v>
          </cell>
          <cell r="AA115">
            <v>0</v>
          </cell>
        </row>
        <row r="116">
          <cell r="A116">
            <v>114</v>
          </cell>
          <cell r="B116">
            <v>1045</v>
          </cell>
          <cell r="C116">
            <v>2024</v>
          </cell>
          <cell r="D116">
            <v>6</v>
          </cell>
          <cell r="E116" t="str">
            <v>Burró Urbieta, Ángel José</v>
          </cell>
          <cell r="F116"/>
          <cell r="G116">
            <v>22501</v>
          </cell>
          <cell r="H116">
            <v>23284</v>
          </cell>
          <cell r="I116">
            <v>23</v>
          </cell>
          <cell r="J116">
            <v>24</v>
          </cell>
          <cell r="K116">
            <v>23.283999999999999</v>
          </cell>
          <cell r="L116">
            <v>1500</v>
          </cell>
          <cell r="M116"/>
          <cell r="N116" t="str">
            <v>FISICA</v>
          </cell>
          <cell r="O116" t="str">
            <v>CI</v>
          </cell>
          <cell r="P116">
            <v>1240189</v>
          </cell>
          <cell r="Q116" t="str">
            <v>PY</v>
          </cell>
          <cell r="R116">
            <v>25688</v>
          </cell>
          <cell r="S116" t="str">
            <v>PY</v>
          </cell>
          <cell r="T116">
            <v>100000</v>
          </cell>
          <cell r="U116" t="str">
            <v>PSV-A</v>
          </cell>
          <cell r="V116">
            <v>0</v>
          </cell>
          <cell r="W116"/>
          <cell r="X116">
            <v>5.5657151944024804E-4</v>
          </cell>
          <cell r="Y116">
            <v>784</v>
          </cell>
          <cell r="Z116">
            <v>0</v>
          </cell>
          <cell r="AA116">
            <v>0</v>
          </cell>
        </row>
        <row r="117">
          <cell r="A117">
            <v>115</v>
          </cell>
          <cell r="B117">
            <v>1045</v>
          </cell>
          <cell r="C117">
            <v>2024</v>
          </cell>
          <cell r="D117">
            <v>6</v>
          </cell>
          <cell r="E117" t="str">
            <v>Cristaldo Savorgnan, Óscar Raúl</v>
          </cell>
          <cell r="F117"/>
          <cell r="G117">
            <v>23285</v>
          </cell>
          <cell r="H117">
            <v>23784</v>
          </cell>
          <cell r="I117">
            <v>24</v>
          </cell>
          <cell r="J117">
            <v>24</v>
          </cell>
          <cell r="K117">
            <v>23.783999999999999</v>
          </cell>
          <cell r="L117">
            <v>716</v>
          </cell>
          <cell r="M117"/>
          <cell r="N117" t="str">
            <v>FISICA</v>
          </cell>
          <cell r="O117" t="str">
            <v>CI</v>
          </cell>
          <cell r="P117">
            <v>1026287</v>
          </cell>
          <cell r="Q117" t="str">
            <v>PY</v>
          </cell>
          <cell r="R117">
            <v>25207</v>
          </cell>
          <cell r="S117" t="str">
            <v>PY</v>
          </cell>
          <cell r="T117">
            <v>100000</v>
          </cell>
          <cell r="U117" t="str">
            <v>PSV-A</v>
          </cell>
          <cell r="V117">
            <v>0</v>
          </cell>
          <cell r="W117"/>
          <cell r="X117">
            <v>3.5495632617362757E-4</v>
          </cell>
          <cell r="Y117">
            <v>500</v>
          </cell>
          <cell r="Z117">
            <v>0</v>
          </cell>
          <cell r="AA117">
            <v>0</v>
          </cell>
        </row>
        <row r="118">
          <cell r="A118">
            <v>116</v>
          </cell>
          <cell r="B118">
            <v>1045</v>
          </cell>
          <cell r="C118">
            <v>2024</v>
          </cell>
          <cell r="D118">
            <v>6</v>
          </cell>
          <cell r="E118" t="str">
            <v>Pecci Miltos, Juan Baustista</v>
          </cell>
          <cell r="F118"/>
          <cell r="G118">
            <v>23785</v>
          </cell>
          <cell r="H118">
            <v>24284</v>
          </cell>
          <cell r="I118">
            <v>24</v>
          </cell>
          <cell r="J118">
            <v>25</v>
          </cell>
          <cell r="K118">
            <v>24.283999999999999</v>
          </cell>
          <cell r="L118">
            <v>1216</v>
          </cell>
          <cell r="M118"/>
          <cell r="N118" t="str">
            <v>FISICA</v>
          </cell>
          <cell r="O118" t="str">
            <v>CI</v>
          </cell>
          <cell r="P118">
            <v>568561</v>
          </cell>
          <cell r="Q118" t="str">
            <v>PY</v>
          </cell>
          <cell r="R118">
            <v>24451</v>
          </cell>
          <cell r="S118" t="str">
            <v>PY</v>
          </cell>
          <cell r="T118">
            <v>100000</v>
          </cell>
          <cell r="U118" t="str">
            <v>PSV-A</v>
          </cell>
          <cell r="V118">
            <v>0</v>
          </cell>
          <cell r="W118"/>
          <cell r="X118">
            <v>3.5495632617362757E-4</v>
          </cell>
          <cell r="Y118">
            <v>500</v>
          </cell>
          <cell r="Z118">
            <v>0</v>
          </cell>
          <cell r="AA118">
            <v>0</v>
          </cell>
        </row>
        <row r="119">
          <cell r="A119">
            <v>117</v>
          </cell>
          <cell r="B119">
            <v>1045</v>
          </cell>
          <cell r="C119">
            <v>2024</v>
          </cell>
          <cell r="D119">
            <v>6</v>
          </cell>
          <cell r="E119" t="str">
            <v>Pecci de Callizo, Beatriz Marta</v>
          </cell>
          <cell r="F119"/>
          <cell r="G119">
            <v>24285</v>
          </cell>
          <cell r="H119">
            <v>24784</v>
          </cell>
          <cell r="I119">
            <v>25</v>
          </cell>
          <cell r="J119">
            <v>25</v>
          </cell>
          <cell r="K119">
            <v>24.783999999999999</v>
          </cell>
          <cell r="L119">
            <v>716</v>
          </cell>
          <cell r="M119"/>
          <cell r="N119" t="str">
            <v>FISICA</v>
          </cell>
          <cell r="O119" t="str">
            <v>CI</v>
          </cell>
          <cell r="P119">
            <v>568560</v>
          </cell>
          <cell r="Q119" t="str">
            <v>PY</v>
          </cell>
          <cell r="R119">
            <v>22395</v>
          </cell>
          <cell r="S119" t="str">
            <v>PY</v>
          </cell>
          <cell r="T119">
            <v>100000</v>
          </cell>
          <cell r="U119" t="str">
            <v>PSV-A</v>
          </cell>
          <cell r="V119">
            <v>0</v>
          </cell>
          <cell r="W119"/>
          <cell r="X119">
            <v>3.5495632617362757E-4</v>
          </cell>
          <cell r="Y119">
            <v>500</v>
          </cell>
          <cell r="Z119">
            <v>0</v>
          </cell>
          <cell r="AA119">
            <v>0</v>
          </cell>
        </row>
        <row r="120">
          <cell r="A120">
            <v>118</v>
          </cell>
          <cell r="B120">
            <v>1045</v>
          </cell>
          <cell r="C120">
            <v>2024</v>
          </cell>
          <cell r="D120">
            <v>6</v>
          </cell>
          <cell r="E120" t="str">
            <v>Capurro Saldivar, Patricia Noemí</v>
          </cell>
          <cell r="F120"/>
          <cell r="G120">
            <v>24785</v>
          </cell>
          <cell r="H120">
            <v>25051</v>
          </cell>
          <cell r="I120">
            <v>25</v>
          </cell>
          <cell r="J120">
            <v>26</v>
          </cell>
          <cell r="K120">
            <v>25.050999999999998</v>
          </cell>
          <cell r="L120">
            <v>1216</v>
          </cell>
          <cell r="M120"/>
          <cell r="N120" t="str">
            <v>FISICA</v>
          </cell>
          <cell r="O120" t="str">
            <v>CI</v>
          </cell>
          <cell r="P120">
            <v>1471307</v>
          </cell>
          <cell r="Q120" t="str">
            <v>PY</v>
          </cell>
          <cell r="R120">
            <v>26361</v>
          </cell>
          <cell r="S120" t="str">
            <v>PY</v>
          </cell>
          <cell r="T120">
            <v>100000</v>
          </cell>
          <cell r="U120" t="str">
            <v>PSV-A</v>
          </cell>
          <cell r="V120">
            <v>0</v>
          </cell>
          <cell r="W120"/>
          <cell r="X120">
            <v>1.8954667817671714E-4</v>
          </cell>
          <cell r="Y120">
            <v>267</v>
          </cell>
          <cell r="Z120">
            <v>0</v>
          </cell>
          <cell r="AA120">
            <v>0</v>
          </cell>
        </row>
        <row r="121">
          <cell r="A121">
            <v>119</v>
          </cell>
          <cell r="B121">
            <v>1045</v>
          </cell>
          <cell r="C121">
            <v>2024</v>
          </cell>
          <cell r="D121">
            <v>6</v>
          </cell>
          <cell r="E121" t="str">
            <v>Pecci Miltos, Jorge Daniel</v>
          </cell>
          <cell r="F121"/>
          <cell r="G121">
            <v>25052</v>
          </cell>
          <cell r="H121">
            <v>25292</v>
          </cell>
          <cell r="I121">
            <v>26</v>
          </cell>
          <cell r="J121">
            <v>26</v>
          </cell>
          <cell r="K121">
            <v>25.292000000000002</v>
          </cell>
          <cell r="L121">
            <v>949</v>
          </cell>
          <cell r="M121"/>
          <cell r="N121" t="str">
            <v>FISICA</v>
          </cell>
          <cell r="O121" t="str">
            <v>CI</v>
          </cell>
          <cell r="P121">
            <v>568559</v>
          </cell>
          <cell r="Q121" t="str">
            <v>PY</v>
          </cell>
          <cell r="R121">
            <v>25094</v>
          </cell>
          <cell r="S121" t="str">
            <v>PY</v>
          </cell>
          <cell r="T121">
            <v>100000</v>
          </cell>
          <cell r="U121" t="str">
            <v>PSV-A</v>
          </cell>
          <cell r="V121">
            <v>0</v>
          </cell>
          <cell r="W121"/>
          <cell r="X121">
            <v>1.7108894921568851E-4</v>
          </cell>
          <cell r="Y121">
            <v>241</v>
          </cell>
          <cell r="Z121">
            <v>0</v>
          </cell>
          <cell r="AA121">
            <v>0</v>
          </cell>
        </row>
        <row r="122">
          <cell r="A122">
            <v>120</v>
          </cell>
          <cell r="B122">
            <v>1045</v>
          </cell>
          <cell r="C122">
            <v>2024</v>
          </cell>
          <cell r="D122">
            <v>6</v>
          </cell>
          <cell r="E122" t="str">
            <v>Martínez Gaona, María Gazul</v>
          </cell>
          <cell r="F122"/>
          <cell r="G122">
            <v>25293</v>
          </cell>
          <cell r="H122">
            <v>25530</v>
          </cell>
          <cell r="I122">
            <v>26</v>
          </cell>
          <cell r="J122">
            <v>26</v>
          </cell>
          <cell r="K122">
            <v>25.53</v>
          </cell>
          <cell r="L122">
            <v>708</v>
          </cell>
          <cell r="M122"/>
          <cell r="N122" t="str">
            <v>FISICA</v>
          </cell>
          <cell r="O122" t="str">
            <v>CI</v>
          </cell>
          <cell r="P122">
            <v>507340</v>
          </cell>
          <cell r="Q122" t="str">
            <v>PY</v>
          </cell>
          <cell r="R122">
            <v>23836</v>
          </cell>
          <cell r="S122" t="str">
            <v>PY</v>
          </cell>
          <cell r="T122">
            <v>100000</v>
          </cell>
          <cell r="U122" t="str">
            <v>PSV-A</v>
          </cell>
          <cell r="V122">
            <v>0</v>
          </cell>
          <cell r="W122"/>
          <cell r="X122">
            <v>1.6895921125864675E-4</v>
          </cell>
          <cell r="Y122">
            <v>238</v>
          </cell>
          <cell r="Z122">
            <v>0</v>
          </cell>
          <cell r="AA122">
            <v>0</v>
          </cell>
        </row>
        <row r="123">
          <cell r="A123">
            <v>121</v>
          </cell>
          <cell r="B123">
            <v>1045</v>
          </cell>
          <cell r="C123">
            <v>2024</v>
          </cell>
          <cell r="D123">
            <v>6</v>
          </cell>
          <cell r="E123" t="str">
            <v>Martínez Gaona, Octavio Miguel</v>
          </cell>
          <cell r="F123"/>
          <cell r="G123">
            <v>25531</v>
          </cell>
          <cell r="H123">
            <v>25768</v>
          </cell>
          <cell r="I123">
            <v>26</v>
          </cell>
          <cell r="J123">
            <v>26</v>
          </cell>
          <cell r="K123">
            <v>25.768000000000001</v>
          </cell>
          <cell r="L123">
            <v>470</v>
          </cell>
          <cell r="M123"/>
          <cell r="N123" t="str">
            <v>FISICA</v>
          </cell>
          <cell r="O123" t="str">
            <v>CI</v>
          </cell>
          <cell r="P123">
            <v>507668</v>
          </cell>
          <cell r="Q123" t="str">
            <v>PY</v>
          </cell>
          <cell r="R123">
            <v>24416</v>
          </cell>
          <cell r="S123" t="str">
            <v>PY</v>
          </cell>
          <cell r="T123">
            <v>100000</v>
          </cell>
          <cell r="U123" t="str">
            <v>PSV-A</v>
          </cell>
          <cell r="V123">
            <v>0</v>
          </cell>
          <cell r="W123"/>
          <cell r="X123">
            <v>1.6895921125864675E-4</v>
          </cell>
          <cell r="Y123">
            <v>238</v>
          </cell>
          <cell r="Z123">
            <v>0</v>
          </cell>
          <cell r="AA123">
            <v>0</v>
          </cell>
        </row>
        <row r="124">
          <cell r="A124">
            <v>122</v>
          </cell>
          <cell r="B124">
            <v>1045</v>
          </cell>
          <cell r="C124">
            <v>2024</v>
          </cell>
          <cell r="D124">
            <v>6</v>
          </cell>
          <cell r="E124" t="str">
            <v>Martínez Gaona, Victor Juan</v>
          </cell>
          <cell r="F124"/>
          <cell r="G124">
            <v>25769</v>
          </cell>
          <cell r="H124">
            <v>26006</v>
          </cell>
          <cell r="I124">
            <v>26</v>
          </cell>
          <cell r="J124">
            <v>27</v>
          </cell>
          <cell r="K124">
            <v>26.006</v>
          </cell>
          <cell r="L124">
            <v>1232</v>
          </cell>
          <cell r="M124"/>
          <cell r="N124" t="str">
            <v>FISICA</v>
          </cell>
          <cell r="O124" t="str">
            <v>CI</v>
          </cell>
          <cell r="P124">
            <v>507665</v>
          </cell>
          <cell r="Q124" t="str">
            <v>PY</v>
          </cell>
          <cell r="R124">
            <v>23419</v>
          </cell>
          <cell r="S124" t="str">
            <v>PY</v>
          </cell>
          <cell r="T124">
            <v>100000</v>
          </cell>
          <cell r="U124" t="str">
            <v>PSV-A</v>
          </cell>
          <cell r="V124">
            <v>0</v>
          </cell>
          <cell r="W124"/>
          <cell r="X124">
            <v>1.6895921125864675E-4</v>
          </cell>
          <cell r="Y124">
            <v>238</v>
          </cell>
          <cell r="Z124">
            <v>0</v>
          </cell>
          <cell r="AA124">
            <v>0</v>
          </cell>
        </row>
        <row r="125">
          <cell r="A125">
            <v>123</v>
          </cell>
          <cell r="B125">
            <v>1045</v>
          </cell>
          <cell r="C125">
            <v>2024</v>
          </cell>
          <cell r="D125">
            <v>6</v>
          </cell>
          <cell r="E125" t="str">
            <v>Vargas Vda. de Martínez, María Lilia Noemí</v>
          </cell>
          <cell r="F125"/>
          <cell r="G125">
            <v>26007</v>
          </cell>
          <cell r="H125">
            <v>26242</v>
          </cell>
          <cell r="I125">
            <v>27</v>
          </cell>
          <cell r="J125">
            <v>27</v>
          </cell>
          <cell r="K125">
            <v>26.242000000000001</v>
          </cell>
          <cell r="L125">
            <v>994</v>
          </cell>
          <cell r="M125"/>
          <cell r="N125" t="str">
            <v>FISICA</v>
          </cell>
          <cell r="O125" t="str">
            <v>CI</v>
          </cell>
          <cell r="P125">
            <v>107653</v>
          </cell>
          <cell r="Q125" t="str">
            <v>PY</v>
          </cell>
          <cell r="R125">
            <v>11978</v>
          </cell>
          <cell r="S125" t="str">
            <v>PY</v>
          </cell>
          <cell r="T125">
            <v>100000</v>
          </cell>
          <cell r="U125" t="str">
            <v>PSV-A</v>
          </cell>
          <cell r="V125">
            <v>0</v>
          </cell>
          <cell r="W125"/>
          <cell r="X125">
            <v>1.6753938595395223E-4</v>
          </cell>
          <cell r="Y125">
            <v>236</v>
          </cell>
          <cell r="Z125">
            <v>0</v>
          </cell>
          <cell r="AA125">
            <v>0</v>
          </cell>
        </row>
        <row r="126">
          <cell r="A126">
            <v>124</v>
          </cell>
          <cell r="B126">
            <v>1045</v>
          </cell>
          <cell r="C126">
            <v>2024</v>
          </cell>
          <cell r="D126">
            <v>6</v>
          </cell>
          <cell r="E126" t="str">
            <v>Goldemberg Asrilevich, Jorge Aníbal</v>
          </cell>
          <cell r="F126"/>
          <cell r="G126">
            <v>26243</v>
          </cell>
          <cell r="H126">
            <v>26638</v>
          </cell>
          <cell r="I126">
            <v>27</v>
          </cell>
          <cell r="J126">
            <v>27</v>
          </cell>
          <cell r="K126">
            <v>26.638000000000002</v>
          </cell>
          <cell r="L126">
            <v>758</v>
          </cell>
          <cell r="M126"/>
          <cell r="N126" t="str">
            <v>FISICA</v>
          </cell>
          <cell r="O126" t="str">
            <v>CI</v>
          </cell>
          <cell r="P126">
            <v>234615</v>
          </cell>
          <cell r="Q126" t="str">
            <v>PY</v>
          </cell>
          <cell r="R126">
            <v>16137</v>
          </cell>
          <cell r="S126" t="str">
            <v>PY</v>
          </cell>
          <cell r="T126">
            <v>100000</v>
          </cell>
          <cell r="U126" t="str">
            <v>PSV-A</v>
          </cell>
          <cell r="V126">
            <v>0</v>
          </cell>
          <cell r="W126"/>
          <cell r="X126">
            <v>2.8112541032951306E-4</v>
          </cell>
          <cell r="Y126">
            <v>396</v>
          </cell>
          <cell r="Z126">
            <v>0</v>
          </cell>
          <cell r="AA126">
            <v>0</v>
          </cell>
        </row>
        <row r="127">
          <cell r="A127">
            <v>125</v>
          </cell>
          <cell r="B127">
            <v>1045</v>
          </cell>
          <cell r="C127">
            <v>2024</v>
          </cell>
          <cell r="D127">
            <v>6</v>
          </cell>
          <cell r="E127" t="str">
            <v>Klein de Gulino, Elena Beatriz</v>
          </cell>
          <cell r="F127"/>
          <cell r="G127">
            <v>26639</v>
          </cell>
          <cell r="H127">
            <v>26966</v>
          </cell>
          <cell r="I127">
            <v>27</v>
          </cell>
          <cell r="J127">
            <v>27</v>
          </cell>
          <cell r="K127">
            <v>26.966000000000001</v>
          </cell>
          <cell r="L127">
            <v>362</v>
          </cell>
          <cell r="M127"/>
          <cell r="N127" t="str">
            <v>FISICA</v>
          </cell>
          <cell r="O127" t="str">
            <v>CI</v>
          </cell>
          <cell r="P127">
            <v>196661</v>
          </cell>
          <cell r="Q127" t="str">
            <v>PY</v>
          </cell>
          <cell r="R127">
            <v>14470</v>
          </cell>
          <cell r="S127" t="str">
            <v>PY</v>
          </cell>
          <cell r="T127">
            <v>100000</v>
          </cell>
          <cell r="U127" t="str">
            <v>PSV-A</v>
          </cell>
          <cell r="V127">
            <v>0</v>
          </cell>
          <cell r="W127"/>
          <cell r="X127">
            <v>2.328513499698997E-4</v>
          </cell>
          <cell r="Y127">
            <v>328</v>
          </cell>
          <cell r="Z127">
            <v>0</v>
          </cell>
          <cell r="AA127">
            <v>0</v>
          </cell>
        </row>
        <row r="128">
          <cell r="A128">
            <v>126</v>
          </cell>
          <cell r="B128">
            <v>1045</v>
          </cell>
          <cell r="C128">
            <v>2024</v>
          </cell>
          <cell r="D128">
            <v>6</v>
          </cell>
          <cell r="E128" t="str">
            <v>Gulino Klein, Rossana Beatriz</v>
          </cell>
          <cell r="F128"/>
          <cell r="G128">
            <v>26967</v>
          </cell>
          <cell r="H128">
            <v>27224</v>
          </cell>
          <cell r="I128">
            <v>27</v>
          </cell>
          <cell r="J128">
            <v>28</v>
          </cell>
          <cell r="K128">
            <v>27.224</v>
          </cell>
          <cell r="L128">
            <v>1034</v>
          </cell>
          <cell r="M128"/>
          <cell r="N128" t="str">
            <v>FISICA</v>
          </cell>
          <cell r="O128" t="str">
            <v>CI</v>
          </cell>
          <cell r="P128">
            <v>767977</v>
          </cell>
          <cell r="Q128" t="str">
            <v>PY</v>
          </cell>
          <cell r="R128">
            <v>24582</v>
          </cell>
          <cell r="S128" t="str">
            <v>PY</v>
          </cell>
          <cell r="T128">
            <v>100000</v>
          </cell>
          <cell r="U128" t="str">
            <v>PSV-A</v>
          </cell>
          <cell r="V128">
            <v>0</v>
          </cell>
          <cell r="W128"/>
          <cell r="X128">
            <v>1.8315746430559184E-4</v>
          </cell>
          <cell r="Y128">
            <v>258</v>
          </cell>
          <cell r="Z128">
            <v>0</v>
          </cell>
          <cell r="AA128">
            <v>0</v>
          </cell>
        </row>
        <row r="129">
          <cell r="A129">
            <v>127</v>
          </cell>
          <cell r="B129">
            <v>1045</v>
          </cell>
          <cell r="C129">
            <v>2024</v>
          </cell>
          <cell r="D129">
            <v>6</v>
          </cell>
          <cell r="E129" t="str">
            <v>Gulino Alfieri, Salvador Óscar</v>
          </cell>
          <cell r="F129"/>
          <cell r="G129">
            <v>27225</v>
          </cell>
          <cell r="H129">
            <v>27473</v>
          </cell>
          <cell r="I129">
            <v>28</v>
          </cell>
          <cell r="J129">
            <v>28</v>
          </cell>
          <cell r="K129">
            <v>27.472999999999999</v>
          </cell>
          <cell r="L129">
            <v>776</v>
          </cell>
          <cell r="M129"/>
          <cell r="N129" t="str">
            <v>FISICA</v>
          </cell>
          <cell r="O129" t="str">
            <v>CI</v>
          </cell>
          <cell r="P129">
            <v>146530</v>
          </cell>
          <cell r="Q129" t="str">
            <v>PY</v>
          </cell>
          <cell r="R129">
            <v>13586</v>
          </cell>
          <cell r="S129" t="str">
            <v>PY</v>
          </cell>
          <cell r="T129">
            <v>100000</v>
          </cell>
          <cell r="U129" t="str">
            <v>PSV-A</v>
          </cell>
          <cell r="V129">
            <v>0</v>
          </cell>
          <cell r="W129"/>
          <cell r="X129">
            <v>1.7676825043446654E-4</v>
          </cell>
          <cell r="Y129">
            <v>249</v>
          </cell>
          <cell r="Z129">
            <v>0</v>
          </cell>
          <cell r="AA129">
            <v>0</v>
          </cell>
        </row>
        <row r="130">
          <cell r="A130">
            <v>128</v>
          </cell>
          <cell r="B130">
            <v>1045</v>
          </cell>
          <cell r="C130">
            <v>2024</v>
          </cell>
          <cell r="D130">
            <v>6</v>
          </cell>
          <cell r="E130" t="str">
            <v>Martínez de Cáceres, María Cristina</v>
          </cell>
          <cell r="F130"/>
          <cell r="G130">
            <v>27474</v>
          </cell>
          <cell r="H130">
            <v>27572</v>
          </cell>
          <cell r="I130">
            <v>28</v>
          </cell>
          <cell r="J130">
            <v>28</v>
          </cell>
          <cell r="K130">
            <v>27.571999999999999</v>
          </cell>
          <cell r="L130">
            <v>527</v>
          </cell>
          <cell r="M130"/>
          <cell r="N130" t="str">
            <v>FISICA</v>
          </cell>
          <cell r="O130" t="str">
            <v>CI</v>
          </cell>
          <cell r="P130">
            <v>433576</v>
          </cell>
          <cell r="Q130" t="str">
            <v>PY</v>
          </cell>
          <cell r="R130">
            <v>20601</v>
          </cell>
          <cell r="S130" t="str">
            <v>PY</v>
          </cell>
          <cell r="T130">
            <v>100000</v>
          </cell>
          <cell r="U130" t="str">
            <v>PSV-A</v>
          </cell>
          <cell r="V130">
            <v>0</v>
          </cell>
          <cell r="W130"/>
          <cell r="X130">
            <v>7.0281352582378265E-5</v>
          </cell>
          <cell r="Y130">
            <v>99</v>
          </cell>
          <cell r="Z130">
            <v>0</v>
          </cell>
          <cell r="AA130">
            <v>0</v>
          </cell>
        </row>
        <row r="131">
          <cell r="A131">
            <v>129</v>
          </cell>
          <cell r="B131">
            <v>1045</v>
          </cell>
          <cell r="C131">
            <v>2024</v>
          </cell>
          <cell r="D131">
            <v>6</v>
          </cell>
          <cell r="E131" t="str">
            <v>Martínez de Fleitas, María Lilia</v>
          </cell>
          <cell r="F131"/>
          <cell r="G131">
            <v>27573</v>
          </cell>
          <cell r="H131">
            <v>27671</v>
          </cell>
          <cell r="I131">
            <v>28</v>
          </cell>
          <cell r="J131">
            <v>28</v>
          </cell>
          <cell r="K131">
            <v>27.670999999999999</v>
          </cell>
          <cell r="L131">
            <v>428</v>
          </cell>
          <cell r="M131"/>
          <cell r="N131" t="str">
            <v>FISICA</v>
          </cell>
          <cell r="O131" t="str">
            <v>CI</v>
          </cell>
          <cell r="P131">
            <v>433577</v>
          </cell>
          <cell r="Q131" t="str">
            <v>PY</v>
          </cell>
          <cell r="R131">
            <v>21268</v>
          </cell>
          <cell r="S131" t="str">
            <v>PY</v>
          </cell>
          <cell r="T131">
            <v>100000</v>
          </cell>
          <cell r="U131" t="str">
            <v>PSV-A</v>
          </cell>
          <cell r="V131">
            <v>0</v>
          </cell>
          <cell r="W131"/>
          <cell r="X131">
            <v>7.0281352582378265E-5</v>
          </cell>
          <cell r="Y131">
            <v>99</v>
          </cell>
          <cell r="Z131">
            <v>0</v>
          </cell>
          <cell r="AA131">
            <v>0</v>
          </cell>
        </row>
        <row r="132">
          <cell r="A132">
            <v>130</v>
          </cell>
          <cell r="B132">
            <v>1045</v>
          </cell>
          <cell r="C132">
            <v>2024</v>
          </cell>
          <cell r="D132">
            <v>6</v>
          </cell>
          <cell r="E132" t="str">
            <v>Martínez Vargas, Javier Luís</v>
          </cell>
          <cell r="F132"/>
          <cell r="G132">
            <v>27672</v>
          </cell>
          <cell r="H132">
            <v>27770</v>
          </cell>
          <cell r="I132">
            <v>28</v>
          </cell>
          <cell r="J132">
            <v>28</v>
          </cell>
          <cell r="K132">
            <v>27.77</v>
          </cell>
          <cell r="L132">
            <v>329</v>
          </cell>
          <cell r="M132"/>
          <cell r="N132" t="str">
            <v>FISICA</v>
          </cell>
          <cell r="O132" t="str">
            <v>CI</v>
          </cell>
          <cell r="P132">
            <v>507343</v>
          </cell>
          <cell r="Q132" t="str">
            <v>PY</v>
          </cell>
          <cell r="R132">
            <v>22151</v>
          </cell>
          <cell r="S132" t="str">
            <v>PY</v>
          </cell>
          <cell r="T132">
            <v>100000</v>
          </cell>
          <cell r="U132" t="str">
            <v>PSV-A</v>
          </cell>
          <cell r="V132">
            <v>0</v>
          </cell>
          <cell r="W132"/>
          <cell r="X132">
            <v>7.0281352582378265E-5</v>
          </cell>
          <cell r="Y132">
            <v>99</v>
          </cell>
          <cell r="Z132">
            <v>0</v>
          </cell>
          <cell r="AA132">
            <v>0</v>
          </cell>
        </row>
        <row r="133">
          <cell r="A133">
            <v>131</v>
          </cell>
          <cell r="B133">
            <v>1045</v>
          </cell>
          <cell r="C133">
            <v>2024</v>
          </cell>
          <cell r="D133">
            <v>6</v>
          </cell>
          <cell r="E133" t="str">
            <v>Martínez Vargas, José María</v>
          </cell>
          <cell r="F133"/>
          <cell r="G133">
            <v>27771</v>
          </cell>
          <cell r="H133">
            <v>27869</v>
          </cell>
          <cell r="I133">
            <v>28</v>
          </cell>
          <cell r="J133">
            <v>28</v>
          </cell>
          <cell r="K133">
            <v>27.869</v>
          </cell>
          <cell r="L133">
            <v>230</v>
          </cell>
          <cell r="M133"/>
          <cell r="N133" t="str">
            <v>FISICA</v>
          </cell>
          <cell r="O133" t="str">
            <v>CI</v>
          </cell>
          <cell r="P133">
            <v>423451</v>
          </cell>
          <cell r="Q133" t="str">
            <v>PY</v>
          </cell>
          <cell r="R133">
            <v>19879</v>
          </cell>
          <cell r="S133" t="str">
            <v>PY</v>
          </cell>
          <cell r="T133">
            <v>100000</v>
          </cell>
          <cell r="U133" t="str">
            <v>PSV-A</v>
          </cell>
          <cell r="V133">
            <v>0</v>
          </cell>
          <cell r="W133"/>
          <cell r="X133">
            <v>7.0281352582378265E-5</v>
          </cell>
          <cell r="Y133">
            <v>99</v>
          </cell>
          <cell r="Z133">
            <v>0</v>
          </cell>
          <cell r="AA133">
            <v>0</v>
          </cell>
        </row>
        <row r="134">
          <cell r="A134">
            <v>132</v>
          </cell>
          <cell r="B134">
            <v>1045</v>
          </cell>
          <cell r="C134">
            <v>2024</v>
          </cell>
          <cell r="D134">
            <v>6</v>
          </cell>
          <cell r="E134" t="str">
            <v>Martínez Vargas, Marcelo Amado</v>
          </cell>
          <cell r="F134"/>
          <cell r="G134">
            <v>27870</v>
          </cell>
          <cell r="H134">
            <v>27968</v>
          </cell>
          <cell r="I134">
            <v>28</v>
          </cell>
          <cell r="J134">
            <v>28</v>
          </cell>
          <cell r="K134">
            <v>27.968</v>
          </cell>
          <cell r="L134">
            <v>131</v>
          </cell>
          <cell r="M134"/>
          <cell r="N134" t="str">
            <v>FISICA</v>
          </cell>
          <cell r="O134" t="str">
            <v>CI</v>
          </cell>
          <cell r="P134">
            <v>507669</v>
          </cell>
          <cell r="Q134" t="str">
            <v>PY</v>
          </cell>
          <cell r="R134">
            <v>24142</v>
          </cell>
          <cell r="S134" t="str">
            <v>PY</v>
          </cell>
          <cell r="T134">
            <v>100000</v>
          </cell>
          <cell r="U134" t="str">
            <v>PSV-A</v>
          </cell>
          <cell r="V134">
            <v>0</v>
          </cell>
          <cell r="W134"/>
          <cell r="X134">
            <v>7.0281352582378265E-5</v>
          </cell>
          <cell r="Y134">
            <v>99</v>
          </cell>
          <cell r="Z134">
            <v>0</v>
          </cell>
          <cell r="AA134">
            <v>0</v>
          </cell>
        </row>
        <row r="135">
          <cell r="A135">
            <v>133</v>
          </cell>
          <cell r="B135">
            <v>1045</v>
          </cell>
          <cell r="C135">
            <v>2024</v>
          </cell>
          <cell r="D135">
            <v>6</v>
          </cell>
          <cell r="E135" t="str">
            <v>Morel Fernandez, Cristhian Milciades</v>
          </cell>
          <cell r="F135"/>
          <cell r="G135">
            <v>27969</v>
          </cell>
          <cell r="H135">
            <v>28063</v>
          </cell>
          <cell r="I135">
            <v>28</v>
          </cell>
          <cell r="J135">
            <v>29</v>
          </cell>
          <cell r="K135">
            <v>28.062999999999999</v>
          </cell>
          <cell r="L135">
            <v>1032</v>
          </cell>
          <cell r="M135"/>
          <cell r="N135" t="str">
            <v>FISICA</v>
          </cell>
          <cell r="O135" t="str">
            <v>CI</v>
          </cell>
          <cell r="P135">
            <v>4366731</v>
          </cell>
          <cell r="Q135" t="str">
            <v>PY</v>
          </cell>
          <cell r="R135">
            <v>31998</v>
          </cell>
          <cell r="S135" t="str">
            <v>PY</v>
          </cell>
          <cell r="T135">
            <v>100000</v>
          </cell>
          <cell r="U135" t="str">
            <v>PSV-A</v>
          </cell>
          <cell r="V135">
            <v>0</v>
          </cell>
          <cell r="W135"/>
          <cell r="X135">
            <v>6.7441701972989238E-5</v>
          </cell>
          <cell r="Y135">
            <v>95</v>
          </cell>
          <cell r="Z135">
            <v>0</v>
          </cell>
          <cell r="AA135">
            <v>0</v>
          </cell>
        </row>
        <row r="136">
          <cell r="A136">
            <v>134</v>
          </cell>
          <cell r="B136">
            <v>1045</v>
          </cell>
          <cell r="C136">
            <v>2024</v>
          </cell>
          <cell r="D136">
            <v>6</v>
          </cell>
          <cell r="E136" t="str">
            <v>Cardozo Ramos, Ornella Antonieta</v>
          </cell>
          <cell r="F136"/>
          <cell r="G136">
            <v>28064</v>
          </cell>
          <cell r="H136">
            <v>28363</v>
          </cell>
          <cell r="I136">
            <v>29</v>
          </cell>
          <cell r="J136">
            <v>29</v>
          </cell>
          <cell r="K136">
            <v>28.363</v>
          </cell>
          <cell r="L136">
            <v>937</v>
          </cell>
          <cell r="M136"/>
          <cell r="N136" t="str">
            <v>FISICA</v>
          </cell>
          <cell r="O136" t="str">
            <v>CI</v>
          </cell>
          <cell r="P136">
            <v>4192291</v>
          </cell>
          <cell r="Q136" t="str">
            <v>PY</v>
          </cell>
          <cell r="R136">
            <v>34132</v>
          </cell>
          <cell r="S136" t="str">
            <v>PY</v>
          </cell>
          <cell r="T136">
            <v>100000</v>
          </cell>
          <cell r="U136" t="str">
            <v>PSV-A</v>
          </cell>
          <cell r="V136">
            <v>0</v>
          </cell>
          <cell r="W136"/>
          <cell r="X136">
            <v>2.1297379570417655E-4</v>
          </cell>
          <cell r="Y136">
            <v>300</v>
          </cell>
          <cell r="Z136">
            <v>0</v>
          </cell>
          <cell r="AA136">
            <v>0</v>
          </cell>
        </row>
        <row r="137">
          <cell r="A137">
            <v>26</v>
          </cell>
          <cell r="B137">
            <v>1045</v>
          </cell>
          <cell r="C137">
            <v>2024</v>
          </cell>
          <cell r="D137">
            <v>12</v>
          </cell>
          <cell r="E137" t="str">
            <v>Artaza Hnos. Comercial e Industrial S.A.</v>
          </cell>
          <cell r="F137"/>
          <cell r="G137">
            <v>28364</v>
          </cell>
          <cell r="H137">
            <v>5</v>
          </cell>
          <cell r="I137">
            <v>28</v>
          </cell>
          <cell r="J137">
            <v>1</v>
          </cell>
          <cell r="K137">
            <v>5.0000000000000001E-3</v>
          </cell>
          <cell r="L137">
            <v>0</v>
          </cell>
          <cell r="M137"/>
          <cell r="N137" t="str">
            <v>JURIDICA</v>
          </cell>
          <cell r="O137" t="str">
            <v>RUC</v>
          </cell>
          <cell r="P137" t="str">
            <v>80001728-5</v>
          </cell>
          <cell r="Q137" t="str">
            <v>PY</v>
          </cell>
          <cell r="R137"/>
          <cell r="S137" t="str">
            <v>PY</v>
          </cell>
          <cell r="T137">
            <v>100000</v>
          </cell>
          <cell r="U137" t="str">
            <v>PSV-A</v>
          </cell>
          <cell r="V137">
            <v>0</v>
          </cell>
          <cell r="W137"/>
          <cell r="X137">
            <v>7.0991265234725514E-4</v>
          </cell>
          <cell r="Y137">
            <v>0</v>
          </cell>
          <cell r="Z137">
            <v>0</v>
          </cell>
          <cell r="AA137">
            <v>0</v>
          </cell>
        </row>
        <row r="138">
          <cell r="A138">
            <v>27</v>
          </cell>
          <cell r="B138">
            <v>1045</v>
          </cell>
          <cell r="C138">
            <v>2024</v>
          </cell>
          <cell r="D138">
            <v>12</v>
          </cell>
          <cell r="E138" t="str">
            <v>Baez Maldonado, Eugenio</v>
          </cell>
          <cell r="F138"/>
          <cell r="G138">
            <v>6</v>
          </cell>
          <cell r="H138">
            <v>5</v>
          </cell>
          <cell r="I138">
            <v>28</v>
          </cell>
          <cell r="J138">
            <v>1</v>
          </cell>
          <cell r="K138">
            <v>5.0000000000000001E-3</v>
          </cell>
          <cell r="L138">
            <v>0</v>
          </cell>
          <cell r="M138"/>
          <cell r="N138" t="str">
            <v>FISICA</v>
          </cell>
          <cell r="O138" t="str">
            <v>CI</v>
          </cell>
          <cell r="P138">
            <v>403013</v>
          </cell>
          <cell r="Q138" t="str">
            <v>PY</v>
          </cell>
          <cell r="R138"/>
          <cell r="S138" t="str">
            <v>PY</v>
          </cell>
          <cell r="T138">
            <v>100000</v>
          </cell>
          <cell r="U138" t="str">
            <v>PSV-A</v>
          </cell>
          <cell r="V138">
            <v>0</v>
          </cell>
          <cell r="W138"/>
          <cell r="X138">
            <v>1.4198253046945103E-3</v>
          </cell>
          <cell r="Y138">
            <v>0</v>
          </cell>
          <cell r="Z138">
            <v>0</v>
          </cell>
          <cell r="AA138">
            <v>0</v>
          </cell>
        </row>
        <row r="139">
          <cell r="A139">
            <v>28</v>
          </cell>
          <cell r="B139">
            <v>1045</v>
          </cell>
          <cell r="C139">
            <v>2024</v>
          </cell>
          <cell r="D139">
            <v>12</v>
          </cell>
          <cell r="E139" t="str">
            <v>Velilla Fernandez, Adrian Alberto</v>
          </cell>
          <cell r="F139"/>
          <cell r="G139">
            <v>6</v>
          </cell>
          <cell r="H139">
            <v>5</v>
          </cell>
          <cell r="I139">
            <v>28</v>
          </cell>
          <cell r="J139">
            <v>1</v>
          </cell>
          <cell r="K139">
            <v>5.0000000000000001E-3</v>
          </cell>
          <cell r="L139">
            <v>0</v>
          </cell>
          <cell r="M139"/>
          <cell r="N139" t="str">
            <v>FISICA</v>
          </cell>
          <cell r="O139" t="str">
            <v>CI</v>
          </cell>
          <cell r="P139">
            <v>1685694</v>
          </cell>
          <cell r="Q139" t="str">
            <v>PY</v>
          </cell>
          <cell r="R139"/>
          <cell r="S139" t="str">
            <v>PY</v>
          </cell>
          <cell r="T139">
            <v>100000</v>
          </cell>
          <cell r="U139" t="str">
            <v>PSV-A</v>
          </cell>
          <cell r="V139">
            <v>0</v>
          </cell>
          <cell r="W139"/>
          <cell r="X139">
            <v>7.0991265234725514E-4</v>
          </cell>
          <cell r="Y139">
            <v>0</v>
          </cell>
          <cell r="Z139">
            <v>0</v>
          </cell>
          <cell r="AA139">
            <v>0</v>
          </cell>
        </row>
        <row r="140">
          <cell r="A140"/>
          <cell r="B140">
            <v>1045</v>
          </cell>
          <cell r="C140">
            <v>2024</v>
          </cell>
          <cell r="D140">
            <v>12</v>
          </cell>
          <cell r="E140" t="str">
            <v xml:space="preserve">Capital Markets  Casa de Bolsa S.A. </v>
          </cell>
          <cell r="F140"/>
          <cell r="G140">
            <v>28364</v>
          </cell>
          <cell r="H140">
            <v>43363</v>
          </cell>
          <cell r="I140">
            <v>28</v>
          </cell>
          <cell r="J140">
            <v>44</v>
          </cell>
          <cell r="K140">
            <v>43.363</v>
          </cell>
          <cell r="L140"/>
          <cell r="M140"/>
          <cell r="N140" t="str">
            <v>JURIDICA</v>
          </cell>
          <cell r="O140" t="str">
            <v>RUC</v>
          </cell>
          <cell r="P140" t="str">
            <v>80009706-0</v>
          </cell>
          <cell r="Q140" t="str">
            <v>PY</v>
          </cell>
          <cell r="R140"/>
          <cell r="S140" t="str">
            <v>PY</v>
          </cell>
          <cell r="T140">
            <v>100000</v>
          </cell>
          <cell r="U140" t="str">
            <v>PSV-A</v>
          </cell>
          <cell r="V140">
            <v>0</v>
          </cell>
          <cell r="W140"/>
          <cell r="X140">
            <v>1.0648689785208828E-2</v>
          </cell>
          <cell r="Y140">
            <v>0</v>
          </cell>
          <cell r="Z140">
            <v>0</v>
          </cell>
          <cell r="AA140">
            <v>0</v>
          </cell>
        </row>
        <row r="141">
          <cell r="A141"/>
          <cell r="B141">
            <v>1045</v>
          </cell>
          <cell r="C141">
            <v>2024</v>
          </cell>
          <cell r="D141">
            <v>12</v>
          </cell>
          <cell r="E141" t="str">
            <v xml:space="preserve">Capital Markets  Casa de Bolsa S.A. </v>
          </cell>
          <cell r="F141"/>
          <cell r="G141">
            <v>43364</v>
          </cell>
          <cell r="H141">
            <v>48363</v>
          </cell>
          <cell r="I141">
            <v>28</v>
          </cell>
          <cell r="J141">
            <v>49</v>
          </cell>
          <cell r="K141">
            <v>48.363</v>
          </cell>
          <cell r="L141"/>
          <cell r="M141"/>
          <cell r="N141" t="str">
            <v>JURIDICA</v>
          </cell>
          <cell r="O141" t="str">
            <v>RUC</v>
          </cell>
          <cell r="P141" t="str">
            <v>80009706-0</v>
          </cell>
          <cell r="Q141" t="str">
            <v>PY</v>
          </cell>
          <cell r="R141"/>
          <cell r="S141" t="str">
            <v>PY</v>
          </cell>
          <cell r="T141">
            <v>100000</v>
          </cell>
          <cell r="U141" t="str">
            <v>PSV-A</v>
          </cell>
          <cell r="V141">
            <v>0</v>
          </cell>
          <cell r="W141"/>
          <cell r="X141">
            <v>3.5495632617362758E-3</v>
          </cell>
          <cell r="Y141">
            <v>0</v>
          </cell>
          <cell r="Z141">
            <v>0</v>
          </cell>
          <cell r="AA141">
            <v>0</v>
          </cell>
        </row>
        <row r="142">
          <cell r="A142">
            <v>31</v>
          </cell>
          <cell r="B142">
            <v>1045</v>
          </cell>
          <cell r="C142">
            <v>2024</v>
          </cell>
          <cell r="D142">
            <v>12</v>
          </cell>
          <cell r="E142" t="str">
            <v>Royal Seguros Sociedad Anónima Compañía de Seguros</v>
          </cell>
          <cell r="F142"/>
          <cell r="G142">
            <v>48364</v>
          </cell>
          <cell r="H142">
            <v>53363</v>
          </cell>
          <cell r="I142">
            <v>28</v>
          </cell>
          <cell r="J142">
            <v>54</v>
          </cell>
          <cell r="K142">
            <v>53.363</v>
          </cell>
          <cell r="L142"/>
          <cell r="M142"/>
          <cell r="N142" t="str">
            <v>JURIDICA</v>
          </cell>
          <cell r="O142" t="str">
            <v>RUC</v>
          </cell>
          <cell r="P142" t="str">
            <v>80074196-0</v>
          </cell>
          <cell r="Q142" t="str">
            <v>PY</v>
          </cell>
          <cell r="R142"/>
          <cell r="S142" t="str">
            <v>PY</v>
          </cell>
          <cell r="T142">
            <v>100000</v>
          </cell>
          <cell r="U142" t="str">
            <v>PSV-A</v>
          </cell>
          <cell r="V142">
            <v>0</v>
          </cell>
          <cell r="W142"/>
          <cell r="X142">
            <v>3.5495632617362758E-3</v>
          </cell>
          <cell r="Y142">
            <v>0</v>
          </cell>
          <cell r="Z142">
            <v>0</v>
          </cell>
          <cell r="AA142">
            <v>0</v>
          </cell>
        </row>
        <row r="143">
          <cell r="A143">
            <v>135</v>
          </cell>
          <cell r="B143">
            <v>1045</v>
          </cell>
          <cell r="C143">
            <v>2024</v>
          </cell>
          <cell r="D143">
            <v>6</v>
          </cell>
          <cell r="E143" t="str">
            <v>Burró Urbieta, Ángel José</v>
          </cell>
          <cell r="F143"/>
          <cell r="G143">
            <v>1</v>
          </cell>
          <cell r="H143">
            <v>784</v>
          </cell>
          <cell r="I143">
            <v>1</v>
          </cell>
          <cell r="J143">
            <v>1</v>
          </cell>
          <cell r="K143">
            <v>0.78400000000000003</v>
          </cell>
          <cell r="L143">
            <v>216</v>
          </cell>
          <cell r="M143"/>
          <cell r="N143" t="str">
            <v>FISICA</v>
          </cell>
          <cell r="O143" t="str">
            <v>CI</v>
          </cell>
          <cell r="P143">
            <v>1240189</v>
          </cell>
          <cell r="Q143" t="str">
            <v>PY</v>
          </cell>
          <cell r="R143">
            <v>25688</v>
          </cell>
          <cell r="S143" t="str">
            <v>PY</v>
          </cell>
          <cell r="T143">
            <v>100000</v>
          </cell>
          <cell r="U143" t="str">
            <v>PSV-B</v>
          </cell>
          <cell r="V143">
            <v>0</v>
          </cell>
          <cell r="W143"/>
          <cell r="X143">
            <v>5.5657151944024804E-4</v>
          </cell>
          <cell r="Y143">
            <v>784</v>
          </cell>
          <cell r="Z143">
            <v>0</v>
          </cell>
          <cell r="AA143">
            <v>0</v>
          </cell>
        </row>
        <row r="144">
          <cell r="A144">
            <v>136</v>
          </cell>
          <cell r="B144">
            <v>1045</v>
          </cell>
          <cell r="C144">
            <v>2024</v>
          </cell>
          <cell r="D144">
            <v>6</v>
          </cell>
          <cell r="E144" t="str">
            <v>Cristaldo Savorgnan, Óscar Raúl</v>
          </cell>
          <cell r="F144"/>
          <cell r="G144">
            <v>785</v>
          </cell>
          <cell r="H144">
            <v>1284</v>
          </cell>
          <cell r="I144">
            <v>1</v>
          </cell>
          <cell r="J144">
            <v>2</v>
          </cell>
          <cell r="K144">
            <v>1.284</v>
          </cell>
          <cell r="L144">
            <v>716</v>
          </cell>
          <cell r="M144"/>
          <cell r="N144" t="str">
            <v>FISICA</v>
          </cell>
          <cell r="O144" t="str">
            <v>CI</v>
          </cell>
          <cell r="P144">
            <v>1026287</v>
          </cell>
          <cell r="Q144" t="str">
            <v>PY</v>
          </cell>
          <cell r="R144">
            <v>25207</v>
          </cell>
          <cell r="S144" t="str">
            <v>PY</v>
          </cell>
          <cell r="T144">
            <v>100000</v>
          </cell>
          <cell r="U144" t="str">
            <v>PSV-B</v>
          </cell>
          <cell r="V144">
            <v>0</v>
          </cell>
          <cell r="W144"/>
          <cell r="X144">
            <v>3.5495632617362757E-4</v>
          </cell>
          <cell r="Y144">
            <v>500</v>
          </cell>
          <cell r="Z144">
            <v>0</v>
          </cell>
          <cell r="AA144">
            <v>0</v>
          </cell>
        </row>
        <row r="145">
          <cell r="A145">
            <v>137</v>
          </cell>
          <cell r="B145">
            <v>1045</v>
          </cell>
          <cell r="C145">
            <v>2024</v>
          </cell>
          <cell r="D145">
            <v>6</v>
          </cell>
          <cell r="E145" t="str">
            <v>Pecci Miltos, Juan Baustista</v>
          </cell>
          <cell r="F145"/>
          <cell r="G145">
            <v>1285</v>
          </cell>
          <cell r="H145">
            <v>1784</v>
          </cell>
          <cell r="I145">
            <v>2</v>
          </cell>
          <cell r="J145">
            <v>2</v>
          </cell>
          <cell r="K145">
            <v>1.784</v>
          </cell>
          <cell r="L145">
            <v>216</v>
          </cell>
          <cell r="M145"/>
          <cell r="N145" t="str">
            <v>FISICA</v>
          </cell>
          <cell r="O145" t="str">
            <v>CI</v>
          </cell>
          <cell r="P145">
            <v>568561</v>
          </cell>
          <cell r="Q145" t="str">
            <v>PY</v>
          </cell>
          <cell r="R145">
            <v>24451</v>
          </cell>
          <cell r="S145" t="str">
            <v>PY</v>
          </cell>
          <cell r="T145">
            <v>100000</v>
          </cell>
          <cell r="U145" t="str">
            <v>PSV-B</v>
          </cell>
          <cell r="V145">
            <v>0</v>
          </cell>
          <cell r="W145"/>
          <cell r="X145">
            <v>3.5495632617362757E-4</v>
          </cell>
          <cell r="Y145">
            <v>500</v>
          </cell>
          <cell r="Z145">
            <v>0</v>
          </cell>
          <cell r="AA145">
            <v>0</v>
          </cell>
        </row>
        <row r="146">
          <cell r="A146">
            <v>138</v>
          </cell>
          <cell r="B146">
            <v>1045</v>
          </cell>
          <cell r="C146">
            <v>2024</v>
          </cell>
          <cell r="D146">
            <v>6</v>
          </cell>
          <cell r="E146" t="str">
            <v>Pecci de Callizo, Beatriz Marta</v>
          </cell>
          <cell r="F146"/>
          <cell r="G146">
            <v>1785</v>
          </cell>
          <cell r="H146">
            <v>2284</v>
          </cell>
          <cell r="I146">
            <v>2</v>
          </cell>
          <cell r="J146">
            <v>3</v>
          </cell>
          <cell r="K146">
            <v>2.2839999999999998</v>
          </cell>
          <cell r="L146">
            <v>716</v>
          </cell>
          <cell r="M146"/>
          <cell r="N146" t="str">
            <v>FISICA</v>
          </cell>
          <cell r="O146" t="str">
            <v>CI</v>
          </cell>
          <cell r="P146">
            <v>568560</v>
          </cell>
          <cell r="Q146" t="str">
            <v>PY</v>
          </cell>
          <cell r="R146">
            <v>22395</v>
          </cell>
          <cell r="S146" t="str">
            <v>PY</v>
          </cell>
          <cell r="T146">
            <v>100000</v>
          </cell>
          <cell r="U146" t="str">
            <v>PSV-B</v>
          </cell>
          <cell r="V146">
            <v>0</v>
          </cell>
          <cell r="W146"/>
          <cell r="X146">
            <v>3.5495632617362757E-4</v>
          </cell>
          <cell r="Y146">
            <v>500</v>
          </cell>
          <cell r="Z146">
            <v>0</v>
          </cell>
          <cell r="AA146">
            <v>0</v>
          </cell>
        </row>
        <row r="147">
          <cell r="A147">
            <v>139</v>
          </cell>
          <cell r="B147">
            <v>1045</v>
          </cell>
          <cell r="C147">
            <v>2024</v>
          </cell>
          <cell r="D147">
            <v>6</v>
          </cell>
          <cell r="E147" t="str">
            <v>Capurro Saldivar, Patricia Noemí</v>
          </cell>
          <cell r="F147"/>
          <cell r="G147">
            <v>2285</v>
          </cell>
          <cell r="H147">
            <v>2551</v>
          </cell>
          <cell r="I147">
            <v>3</v>
          </cell>
          <cell r="J147">
            <v>3</v>
          </cell>
          <cell r="K147">
            <v>2.5510000000000002</v>
          </cell>
          <cell r="L147">
            <v>449</v>
          </cell>
          <cell r="M147"/>
          <cell r="N147" t="str">
            <v>FISICA</v>
          </cell>
          <cell r="O147" t="str">
            <v>CI</v>
          </cell>
          <cell r="P147">
            <v>1471307</v>
          </cell>
          <cell r="Q147" t="str">
            <v>PY</v>
          </cell>
          <cell r="R147">
            <v>26361</v>
          </cell>
          <cell r="S147" t="str">
            <v>PY</v>
          </cell>
          <cell r="T147">
            <v>100000</v>
          </cell>
          <cell r="U147" t="str">
            <v>PSV-B</v>
          </cell>
          <cell r="V147">
            <v>0</v>
          </cell>
          <cell r="W147"/>
          <cell r="X147">
            <v>1.8954667817671714E-4</v>
          </cell>
          <cell r="Y147">
            <v>267</v>
          </cell>
          <cell r="Z147">
            <v>0</v>
          </cell>
          <cell r="AA147">
            <v>0</v>
          </cell>
        </row>
        <row r="148">
          <cell r="A148">
            <v>140</v>
          </cell>
          <cell r="B148">
            <v>1045</v>
          </cell>
          <cell r="C148">
            <v>2024</v>
          </cell>
          <cell r="D148">
            <v>6</v>
          </cell>
          <cell r="E148" t="str">
            <v>Pecci Miltos, Jorge Daniel</v>
          </cell>
          <cell r="F148"/>
          <cell r="G148">
            <v>2552</v>
          </cell>
          <cell r="H148">
            <v>2791</v>
          </cell>
          <cell r="I148">
            <v>3</v>
          </cell>
          <cell r="J148">
            <v>3</v>
          </cell>
          <cell r="K148">
            <v>2.7909999999999999</v>
          </cell>
          <cell r="L148">
            <v>209</v>
          </cell>
          <cell r="M148"/>
          <cell r="N148" t="str">
            <v>FISICA</v>
          </cell>
          <cell r="O148" t="str">
            <v>CI</v>
          </cell>
          <cell r="P148">
            <v>568559</v>
          </cell>
          <cell r="Q148" t="str">
            <v>PY</v>
          </cell>
          <cell r="R148">
            <v>25094</v>
          </cell>
          <cell r="S148" t="str">
            <v>PY</v>
          </cell>
          <cell r="T148">
            <v>100000</v>
          </cell>
          <cell r="U148" t="str">
            <v>PSV-B</v>
          </cell>
          <cell r="V148">
            <v>0</v>
          </cell>
          <cell r="W148"/>
          <cell r="X148">
            <v>1.7037903656334124E-4</v>
          </cell>
          <cell r="Y148">
            <v>240</v>
          </cell>
          <cell r="Z148">
            <v>0</v>
          </cell>
          <cell r="AA148">
            <v>0</v>
          </cell>
        </row>
        <row r="149">
          <cell r="A149">
            <v>141</v>
          </cell>
          <cell r="B149">
            <v>1045</v>
          </cell>
          <cell r="C149">
            <v>2024</v>
          </cell>
          <cell r="D149">
            <v>6</v>
          </cell>
          <cell r="E149" t="str">
            <v>Martínez Gaona, María Gazul</v>
          </cell>
          <cell r="F149"/>
          <cell r="G149">
            <v>2792</v>
          </cell>
          <cell r="H149">
            <v>3028</v>
          </cell>
          <cell r="I149">
            <v>3</v>
          </cell>
          <cell r="J149">
            <v>4</v>
          </cell>
          <cell r="K149">
            <v>3.028</v>
          </cell>
          <cell r="L149">
            <v>972</v>
          </cell>
          <cell r="M149"/>
          <cell r="N149" t="str">
            <v>FISICA</v>
          </cell>
          <cell r="O149" t="str">
            <v>CI</v>
          </cell>
          <cell r="P149">
            <v>507340</v>
          </cell>
          <cell r="Q149" t="str">
            <v>PY</v>
          </cell>
          <cell r="R149">
            <v>23836</v>
          </cell>
          <cell r="S149" t="str">
            <v>PY</v>
          </cell>
          <cell r="T149">
            <v>100000</v>
          </cell>
          <cell r="U149" t="str">
            <v>PSV-B</v>
          </cell>
          <cell r="V149">
            <v>1</v>
          </cell>
          <cell r="W149"/>
          <cell r="X149">
            <v>1.6824929860629947E-4</v>
          </cell>
          <cell r="Y149">
            <v>237</v>
          </cell>
          <cell r="Z149">
            <v>0</v>
          </cell>
          <cell r="AA149">
            <v>0</v>
          </cell>
        </row>
        <row r="150">
          <cell r="A150">
            <v>142</v>
          </cell>
          <cell r="B150">
            <v>1045</v>
          </cell>
          <cell r="C150">
            <v>2024</v>
          </cell>
          <cell r="D150">
            <v>6</v>
          </cell>
          <cell r="E150" t="str">
            <v>Martínez Gaona, Octavio Miguel</v>
          </cell>
          <cell r="F150"/>
          <cell r="G150">
            <v>3029</v>
          </cell>
          <cell r="H150">
            <v>3265</v>
          </cell>
          <cell r="I150">
            <v>4</v>
          </cell>
          <cell r="J150">
            <v>4</v>
          </cell>
          <cell r="K150">
            <v>3.2650000000000001</v>
          </cell>
          <cell r="L150">
            <v>735</v>
          </cell>
          <cell r="M150"/>
          <cell r="N150" t="str">
            <v>FISICA</v>
          </cell>
          <cell r="O150" t="str">
            <v>CI</v>
          </cell>
          <cell r="P150">
            <v>507668</v>
          </cell>
          <cell r="Q150" t="str">
            <v>PY</v>
          </cell>
          <cell r="R150">
            <v>24416</v>
          </cell>
          <cell r="S150" t="str">
            <v>PY</v>
          </cell>
          <cell r="T150">
            <v>100000</v>
          </cell>
          <cell r="U150" t="str">
            <v>PSV-B</v>
          </cell>
          <cell r="V150">
            <v>2</v>
          </cell>
          <cell r="W150"/>
          <cell r="X150">
            <v>1.6824929860629947E-4</v>
          </cell>
          <cell r="Y150">
            <v>237</v>
          </cell>
          <cell r="Z150">
            <v>0</v>
          </cell>
          <cell r="AA150">
            <v>0</v>
          </cell>
        </row>
        <row r="151">
          <cell r="A151">
            <v>143</v>
          </cell>
          <cell r="B151">
            <v>1045</v>
          </cell>
          <cell r="C151">
            <v>2024</v>
          </cell>
          <cell r="D151">
            <v>6</v>
          </cell>
          <cell r="E151" t="str">
            <v>Martínez Gaona, Victor Juan</v>
          </cell>
          <cell r="F151"/>
          <cell r="G151">
            <v>3266</v>
          </cell>
          <cell r="H151">
            <v>3502</v>
          </cell>
          <cell r="I151">
            <v>4</v>
          </cell>
          <cell r="J151">
            <v>4</v>
          </cell>
          <cell r="K151">
            <v>3.5019999999999998</v>
          </cell>
          <cell r="L151">
            <v>498</v>
          </cell>
          <cell r="M151"/>
          <cell r="N151" t="str">
            <v>FISICA</v>
          </cell>
          <cell r="O151" t="str">
            <v>CI</v>
          </cell>
          <cell r="P151">
            <v>507665</v>
          </cell>
          <cell r="Q151" t="str">
            <v>PY</v>
          </cell>
          <cell r="R151">
            <v>23419</v>
          </cell>
          <cell r="S151" t="str">
            <v>PY</v>
          </cell>
          <cell r="T151">
            <v>100000</v>
          </cell>
          <cell r="U151" t="str">
            <v>PSV-B</v>
          </cell>
          <cell r="V151">
            <v>3</v>
          </cell>
          <cell r="W151"/>
          <cell r="X151">
            <v>1.6824929860629947E-4</v>
          </cell>
          <cell r="Y151">
            <v>237</v>
          </cell>
          <cell r="Z151">
            <v>0</v>
          </cell>
          <cell r="AA151">
            <v>0</v>
          </cell>
        </row>
        <row r="152">
          <cell r="A152">
            <v>144</v>
          </cell>
          <cell r="B152">
            <v>1045</v>
          </cell>
          <cell r="C152">
            <v>2024</v>
          </cell>
          <cell r="D152">
            <v>6</v>
          </cell>
          <cell r="E152" t="str">
            <v>Vargas Vda. de Martínez, María Lilia Noemí</v>
          </cell>
          <cell r="F152"/>
          <cell r="G152">
            <v>3503</v>
          </cell>
          <cell r="H152">
            <v>3738</v>
          </cell>
          <cell r="I152">
            <v>4</v>
          </cell>
          <cell r="J152">
            <v>4</v>
          </cell>
          <cell r="K152">
            <v>3.738</v>
          </cell>
          <cell r="L152">
            <v>262</v>
          </cell>
          <cell r="M152"/>
          <cell r="N152" t="str">
            <v>FISICA</v>
          </cell>
          <cell r="O152" t="str">
            <v>CI</v>
          </cell>
          <cell r="P152">
            <v>107653</v>
          </cell>
          <cell r="Q152" t="str">
            <v>PY</v>
          </cell>
          <cell r="R152">
            <v>11978</v>
          </cell>
          <cell r="S152" t="str">
            <v>PY</v>
          </cell>
          <cell r="T152">
            <v>100000</v>
          </cell>
          <cell r="U152" t="str">
            <v>PSV-B</v>
          </cell>
          <cell r="V152">
            <v>4</v>
          </cell>
          <cell r="W152"/>
          <cell r="X152">
            <v>1.6753938595395223E-4</v>
          </cell>
          <cell r="Y152">
            <v>236</v>
          </cell>
          <cell r="Z152">
            <v>0</v>
          </cell>
          <cell r="AA152">
            <v>0</v>
          </cell>
        </row>
        <row r="153">
          <cell r="A153">
            <v>145</v>
          </cell>
          <cell r="B153">
            <v>1045</v>
          </cell>
          <cell r="C153">
            <v>2024</v>
          </cell>
          <cell r="D153">
            <v>6</v>
          </cell>
          <cell r="E153" t="str">
            <v>Martínez de Cáceres, María Cristina</v>
          </cell>
          <cell r="F153"/>
          <cell r="G153">
            <v>3739</v>
          </cell>
          <cell r="H153">
            <v>3836</v>
          </cell>
          <cell r="I153">
            <v>4</v>
          </cell>
          <cell r="J153">
            <v>4</v>
          </cell>
          <cell r="K153">
            <v>3.8359999999999999</v>
          </cell>
          <cell r="L153">
            <v>164</v>
          </cell>
          <cell r="M153"/>
          <cell r="N153" t="str">
            <v>FISICA</v>
          </cell>
          <cell r="O153" t="str">
            <v>CI</v>
          </cell>
          <cell r="P153">
            <v>433576</v>
          </cell>
          <cell r="Q153" t="str">
            <v>PY</v>
          </cell>
          <cell r="R153">
            <v>20601</v>
          </cell>
          <cell r="S153" t="str">
            <v>PY</v>
          </cell>
          <cell r="T153">
            <v>100000</v>
          </cell>
          <cell r="U153" t="str">
            <v>PSV-B</v>
          </cell>
          <cell r="V153">
            <v>5</v>
          </cell>
          <cell r="W153"/>
          <cell r="X153">
            <v>6.9571439930031005E-5</v>
          </cell>
          <cell r="Y153">
            <v>98</v>
          </cell>
          <cell r="Z153">
            <v>0</v>
          </cell>
          <cell r="AA153">
            <v>0</v>
          </cell>
        </row>
        <row r="154">
          <cell r="A154">
            <v>146</v>
          </cell>
          <cell r="B154">
            <v>1045</v>
          </cell>
          <cell r="C154">
            <v>2024</v>
          </cell>
          <cell r="D154">
            <v>6</v>
          </cell>
          <cell r="E154" t="str">
            <v>Martínez de Fleitas, María Lilia</v>
          </cell>
          <cell r="F154"/>
          <cell r="G154">
            <v>3837</v>
          </cell>
          <cell r="H154">
            <v>3934</v>
          </cell>
          <cell r="I154">
            <v>4</v>
          </cell>
          <cell r="J154">
            <v>4</v>
          </cell>
          <cell r="K154">
            <v>3.9340000000000002</v>
          </cell>
          <cell r="L154">
            <v>66</v>
          </cell>
          <cell r="M154"/>
          <cell r="N154" t="str">
            <v>FISICA</v>
          </cell>
          <cell r="O154" t="str">
            <v>CI</v>
          </cell>
          <cell r="P154">
            <v>433577</v>
          </cell>
          <cell r="Q154" t="str">
            <v>PY</v>
          </cell>
          <cell r="R154">
            <v>21268</v>
          </cell>
          <cell r="S154" t="str">
            <v>PY</v>
          </cell>
          <cell r="T154">
            <v>100000</v>
          </cell>
          <cell r="U154" t="str">
            <v>PSV-B</v>
          </cell>
          <cell r="V154">
            <v>6</v>
          </cell>
          <cell r="W154"/>
          <cell r="X154">
            <v>6.9571439930031005E-5</v>
          </cell>
          <cell r="Y154">
            <v>98</v>
          </cell>
          <cell r="Z154">
            <v>0</v>
          </cell>
          <cell r="AA154">
            <v>0</v>
          </cell>
        </row>
        <row r="155">
          <cell r="A155">
            <v>147</v>
          </cell>
          <cell r="B155">
            <v>1045</v>
          </cell>
          <cell r="C155">
            <v>2024</v>
          </cell>
          <cell r="D155">
            <v>6</v>
          </cell>
          <cell r="E155" t="str">
            <v>Martínez Vargas, Javier Luís</v>
          </cell>
          <cell r="F155"/>
          <cell r="G155">
            <v>3935</v>
          </cell>
          <cell r="H155">
            <v>4032</v>
          </cell>
          <cell r="I155">
            <v>4</v>
          </cell>
          <cell r="J155">
            <v>5</v>
          </cell>
          <cell r="K155">
            <v>4.032</v>
          </cell>
          <cell r="L155">
            <v>968</v>
          </cell>
          <cell r="M155"/>
          <cell r="N155" t="str">
            <v>FISICA</v>
          </cell>
          <cell r="O155" t="str">
            <v>CI</v>
          </cell>
          <cell r="P155">
            <v>507343</v>
          </cell>
          <cell r="Q155" t="str">
            <v>PY</v>
          </cell>
          <cell r="R155">
            <v>22151</v>
          </cell>
          <cell r="S155" t="str">
            <v>PY</v>
          </cell>
          <cell r="T155">
            <v>100000</v>
          </cell>
          <cell r="U155" t="str">
            <v>PSV-B</v>
          </cell>
          <cell r="V155">
            <v>7</v>
          </cell>
          <cell r="W155"/>
          <cell r="X155">
            <v>6.9571439930031005E-5</v>
          </cell>
          <cell r="Y155">
            <v>98</v>
          </cell>
          <cell r="Z155">
            <v>0</v>
          </cell>
          <cell r="AA155">
            <v>0</v>
          </cell>
        </row>
        <row r="156">
          <cell r="A156">
            <v>148</v>
          </cell>
          <cell r="B156">
            <v>1045</v>
          </cell>
          <cell r="C156">
            <v>2024</v>
          </cell>
          <cell r="D156">
            <v>6</v>
          </cell>
          <cell r="E156" t="str">
            <v>Martínez Vargas, José María</v>
          </cell>
          <cell r="F156"/>
          <cell r="G156">
            <v>4033</v>
          </cell>
          <cell r="H156">
            <v>4130</v>
          </cell>
          <cell r="I156">
            <v>5</v>
          </cell>
          <cell r="J156">
            <v>5</v>
          </cell>
          <cell r="K156">
            <v>4.13</v>
          </cell>
          <cell r="L156">
            <v>870</v>
          </cell>
          <cell r="M156"/>
          <cell r="N156" t="str">
            <v>FISICA</v>
          </cell>
          <cell r="O156" t="str">
            <v>CI</v>
          </cell>
          <cell r="P156">
            <v>423451</v>
          </cell>
          <cell r="Q156" t="str">
            <v>PY</v>
          </cell>
          <cell r="R156">
            <v>19879</v>
          </cell>
          <cell r="S156" t="str">
            <v>PY</v>
          </cell>
          <cell r="T156">
            <v>100000</v>
          </cell>
          <cell r="U156" t="str">
            <v>PSV-B</v>
          </cell>
          <cell r="V156">
            <v>8</v>
          </cell>
          <cell r="W156"/>
          <cell r="X156">
            <v>6.9571439930031005E-5</v>
          </cell>
          <cell r="Y156">
            <v>98</v>
          </cell>
          <cell r="Z156">
            <v>0</v>
          </cell>
          <cell r="AA156">
            <v>0</v>
          </cell>
        </row>
        <row r="157">
          <cell r="A157">
            <v>149</v>
          </cell>
          <cell r="B157">
            <v>1045</v>
          </cell>
          <cell r="C157">
            <v>2024</v>
          </cell>
          <cell r="D157">
            <v>6</v>
          </cell>
          <cell r="E157" t="str">
            <v>Martínez Vargas, Marcelo Amado</v>
          </cell>
          <cell r="F157"/>
          <cell r="G157">
            <v>4131</v>
          </cell>
          <cell r="H157">
            <v>4228</v>
          </cell>
          <cell r="I157">
            <v>5</v>
          </cell>
          <cell r="J157">
            <v>5</v>
          </cell>
          <cell r="K157">
            <v>4.2279999999999998</v>
          </cell>
          <cell r="L157">
            <v>772</v>
          </cell>
          <cell r="M157"/>
          <cell r="N157" t="str">
            <v>FISICA</v>
          </cell>
          <cell r="O157" t="str">
            <v>CI</v>
          </cell>
          <cell r="P157">
            <v>507669</v>
          </cell>
          <cell r="Q157" t="str">
            <v>PY</v>
          </cell>
          <cell r="R157">
            <v>24142</v>
          </cell>
          <cell r="S157" t="str">
            <v>PY</v>
          </cell>
          <cell r="T157">
            <v>100000</v>
          </cell>
          <cell r="U157" t="str">
            <v>PSV-B</v>
          </cell>
          <cell r="V157">
            <v>9</v>
          </cell>
          <cell r="W157"/>
          <cell r="X157">
            <v>6.9571439930031005E-5</v>
          </cell>
          <cell r="Y157">
            <v>98</v>
          </cell>
          <cell r="Z157">
            <v>0</v>
          </cell>
          <cell r="AA157">
            <v>0</v>
          </cell>
        </row>
        <row r="158">
          <cell r="A158">
            <v>150</v>
          </cell>
          <cell r="B158">
            <v>1045</v>
          </cell>
          <cell r="C158">
            <v>2024</v>
          </cell>
          <cell r="D158">
            <v>6</v>
          </cell>
          <cell r="E158" t="str">
            <v>Investor Fiduciaria S.A.</v>
          </cell>
          <cell r="F158"/>
          <cell r="G158">
            <v>4229</v>
          </cell>
          <cell r="H158">
            <v>29228</v>
          </cell>
          <cell r="I158">
            <v>5</v>
          </cell>
          <cell r="J158">
            <v>30</v>
          </cell>
          <cell r="K158">
            <v>29.228000000000002</v>
          </cell>
          <cell r="L158">
            <v>772</v>
          </cell>
          <cell r="M158"/>
          <cell r="N158" t="str">
            <v>JURÍDICA</v>
          </cell>
          <cell r="O158" t="str">
            <v>CI</v>
          </cell>
          <cell r="P158" t="str">
            <v>80118575-0</v>
          </cell>
          <cell r="Q158" t="str">
            <v>PY</v>
          </cell>
          <cell r="R158">
            <v>43956</v>
          </cell>
          <cell r="S158" t="str">
            <v>PY</v>
          </cell>
          <cell r="T158">
            <v>100000</v>
          </cell>
          <cell r="U158" t="str">
            <v>PSV-B</v>
          </cell>
          <cell r="V158">
            <v>10</v>
          </cell>
          <cell r="W158"/>
          <cell r="X158">
            <v>1.7747816308681379E-2</v>
          </cell>
          <cell r="Y158">
            <v>25000</v>
          </cell>
          <cell r="Z158">
            <v>0</v>
          </cell>
          <cell r="AA158">
            <v>0</v>
          </cell>
        </row>
        <row r="159">
          <cell r="A159">
            <v>151</v>
          </cell>
          <cell r="B159">
            <v>1045</v>
          </cell>
          <cell r="C159">
            <v>2024</v>
          </cell>
          <cell r="D159">
            <v>6</v>
          </cell>
          <cell r="E159" t="str">
            <v>Investor Administradora de Fondos Patrimoniales de Inversión S.A</v>
          </cell>
          <cell r="F159"/>
          <cell r="G159">
            <v>29229</v>
          </cell>
          <cell r="H159">
            <v>39228</v>
          </cell>
          <cell r="I159">
            <v>30</v>
          </cell>
          <cell r="J159">
            <v>40</v>
          </cell>
          <cell r="K159">
            <v>39.228000000000002</v>
          </cell>
          <cell r="L159">
            <v>772</v>
          </cell>
          <cell r="M159"/>
          <cell r="N159" t="str">
            <v>JURÍDICA</v>
          </cell>
          <cell r="O159" t="str">
            <v>CI</v>
          </cell>
          <cell r="P159" t="str">
            <v xml:space="preserve"> 80096334-2</v>
          </cell>
          <cell r="Q159" t="str">
            <v>PY</v>
          </cell>
          <cell r="R159">
            <v>42772</v>
          </cell>
          <cell r="S159" t="str">
            <v>PY</v>
          </cell>
          <cell r="T159">
            <v>100000</v>
          </cell>
          <cell r="U159" t="str">
            <v>PSV-B</v>
          </cell>
          <cell r="V159">
            <v>11</v>
          </cell>
          <cell r="W159"/>
          <cell r="X159">
            <v>7.0991265234725516E-3</v>
          </cell>
          <cell r="Y159">
            <v>10000</v>
          </cell>
          <cell r="Z159">
            <v>0</v>
          </cell>
          <cell r="AA159">
            <v>0</v>
          </cell>
        </row>
        <row r="160">
          <cell r="A160">
            <v>152</v>
          </cell>
          <cell r="B160">
            <v>1045</v>
          </cell>
          <cell r="C160">
            <v>2024</v>
          </cell>
          <cell r="D160">
            <v>6</v>
          </cell>
          <cell r="E160" t="str">
            <v>Ríos Villagra, Sonia Catalina</v>
          </cell>
          <cell r="F160"/>
          <cell r="G160">
            <v>39229</v>
          </cell>
          <cell r="H160">
            <v>44228</v>
          </cell>
          <cell r="I160">
            <v>40</v>
          </cell>
          <cell r="J160">
            <v>45</v>
          </cell>
          <cell r="K160">
            <v>44.228000000000002</v>
          </cell>
          <cell r="L160">
            <v>772</v>
          </cell>
          <cell r="M160"/>
          <cell r="N160" t="str">
            <v>FISICA</v>
          </cell>
          <cell r="O160" t="str">
            <v>CI</v>
          </cell>
          <cell r="P160">
            <v>896381</v>
          </cell>
          <cell r="Q160" t="str">
            <v>PY</v>
          </cell>
          <cell r="R160"/>
          <cell r="S160" t="str">
            <v>PY</v>
          </cell>
          <cell r="T160">
            <v>100000</v>
          </cell>
          <cell r="U160" t="str">
            <v>PSV-B</v>
          </cell>
          <cell r="V160">
            <v>12</v>
          </cell>
          <cell r="W160"/>
          <cell r="X160">
            <v>3.5495632617362758E-3</v>
          </cell>
          <cell r="Y160">
            <v>5000</v>
          </cell>
          <cell r="Z160">
            <v>0</v>
          </cell>
          <cell r="AA160">
            <v>0</v>
          </cell>
        </row>
        <row r="161">
          <cell r="A161">
            <v>153</v>
          </cell>
          <cell r="B161">
            <v>1045</v>
          </cell>
          <cell r="C161">
            <v>2024</v>
          </cell>
          <cell r="D161">
            <v>6</v>
          </cell>
          <cell r="E161" t="str">
            <v>Chamorro Bogado, Pedro Tomas</v>
          </cell>
          <cell r="F161"/>
          <cell r="G161">
            <v>44229</v>
          </cell>
          <cell r="H161">
            <v>47228</v>
          </cell>
          <cell r="I161">
            <v>45</v>
          </cell>
          <cell r="J161">
            <v>48</v>
          </cell>
          <cell r="K161">
            <v>47.228000000000002</v>
          </cell>
          <cell r="L161">
            <v>772</v>
          </cell>
          <cell r="M161"/>
          <cell r="N161" t="str">
            <v>FISICA</v>
          </cell>
          <cell r="O161" t="str">
            <v>CI</v>
          </cell>
          <cell r="P161">
            <v>493390</v>
          </cell>
          <cell r="Q161" t="str">
            <v>PY</v>
          </cell>
          <cell r="R161">
            <v>20499</v>
          </cell>
          <cell r="S161" t="str">
            <v>PY</v>
          </cell>
          <cell r="T161">
            <v>100000</v>
          </cell>
          <cell r="U161" t="str">
            <v>PSV-B</v>
          </cell>
          <cell r="V161">
            <v>13</v>
          </cell>
          <cell r="W161"/>
          <cell r="X161">
            <v>2.1297379570417658E-3</v>
          </cell>
          <cell r="Y161">
            <v>3000</v>
          </cell>
          <cell r="Z161">
            <v>0</v>
          </cell>
          <cell r="AA161">
            <v>0</v>
          </cell>
        </row>
        <row r="162">
          <cell r="A162">
            <v>154</v>
          </cell>
          <cell r="B162">
            <v>1045</v>
          </cell>
          <cell r="C162">
            <v>2024</v>
          </cell>
          <cell r="D162">
            <v>6</v>
          </cell>
          <cell r="E162" t="str">
            <v>Caja de Jubilaciones y Pensiones del personal de la ANDE</v>
          </cell>
          <cell r="F162"/>
          <cell r="G162">
            <v>47229</v>
          </cell>
          <cell r="H162">
            <v>97228</v>
          </cell>
          <cell r="I162">
            <v>48</v>
          </cell>
          <cell r="J162">
            <v>98</v>
          </cell>
          <cell r="K162">
            <v>97.227999999999994</v>
          </cell>
          <cell r="L162">
            <v>772</v>
          </cell>
          <cell r="M162"/>
          <cell r="N162" t="str">
            <v>JURÍDICA</v>
          </cell>
          <cell r="O162" t="str">
            <v>CI</v>
          </cell>
          <cell r="P162" t="str">
            <v>80000954-1</v>
          </cell>
          <cell r="Q162" t="str">
            <v>PY</v>
          </cell>
          <cell r="R162">
            <v>32888</v>
          </cell>
          <cell r="S162" t="str">
            <v>PY</v>
          </cell>
          <cell r="T162">
            <v>100000</v>
          </cell>
          <cell r="U162" t="str">
            <v>PSV-B</v>
          </cell>
          <cell r="V162">
            <v>14</v>
          </cell>
          <cell r="W162"/>
          <cell r="X162">
            <v>3.5495632617362757E-2</v>
          </cell>
          <cell r="Y162">
            <v>50000</v>
          </cell>
          <cell r="Z162">
            <v>0</v>
          </cell>
          <cell r="AA162">
            <v>0</v>
          </cell>
        </row>
        <row r="163">
          <cell r="A163">
            <v>155</v>
          </cell>
          <cell r="B163">
            <v>1045</v>
          </cell>
          <cell r="C163">
            <v>2024</v>
          </cell>
          <cell r="D163">
            <v>6</v>
          </cell>
          <cell r="E163" t="str">
            <v>Investor Casa de Bolsa S.A.</v>
          </cell>
          <cell r="F163"/>
          <cell r="G163">
            <v>97229</v>
          </cell>
          <cell r="H163">
            <v>100000</v>
          </cell>
          <cell r="I163">
            <v>98</v>
          </cell>
          <cell r="J163">
            <v>100</v>
          </cell>
          <cell r="K163">
            <v>100</v>
          </cell>
          <cell r="L163">
            <v>0</v>
          </cell>
          <cell r="M163"/>
          <cell r="N163" t="str">
            <v>JURÍDICA</v>
          </cell>
          <cell r="O163" t="str">
            <v>CI</v>
          </cell>
          <cell r="P163" t="str">
            <v>80060213-7</v>
          </cell>
          <cell r="Q163" t="str">
            <v>PY</v>
          </cell>
          <cell r="R163">
            <v>40284</v>
          </cell>
          <cell r="S163" t="str">
            <v>PY</v>
          </cell>
          <cell r="T163">
            <v>100000</v>
          </cell>
          <cell r="U163" t="str">
            <v>PSV-B</v>
          </cell>
          <cell r="V163">
            <v>15</v>
          </cell>
          <cell r="W163"/>
          <cell r="X163">
            <v>1.9678778723065914E-3</v>
          </cell>
          <cell r="Y163">
            <v>2772</v>
          </cell>
          <cell r="Z163">
            <v>0</v>
          </cell>
          <cell r="AA163">
            <v>0</v>
          </cell>
        </row>
        <row r="164">
          <cell r="X164">
            <v>1</v>
          </cell>
          <cell r="Y164">
            <v>1379624</v>
          </cell>
          <cell r="Z164">
            <v>6256305</v>
          </cell>
          <cell r="AA164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0"/>
  <sheetViews>
    <sheetView tabSelected="1" zoomScaleNormal="100" workbookViewId="0">
      <pane xSplit="6" ySplit="3" topLeftCell="Q4" activePane="bottomRight" state="frozen"/>
      <selection pane="topRight" activeCell="G1" sqref="G1"/>
      <selection pane="bottomLeft" activeCell="A5" sqref="A5"/>
      <selection pane="bottomRight" activeCell="AB48" sqref="AB48"/>
    </sheetView>
  </sheetViews>
  <sheetFormatPr baseColWidth="10" defaultRowHeight="15" x14ac:dyDescent="0.25"/>
  <cols>
    <col min="1" max="1" width="5.7109375" customWidth="1"/>
    <col min="2" max="2" width="7.85546875" customWidth="1"/>
    <col min="3" max="3" width="5.5703125" customWidth="1"/>
    <col min="4" max="4" width="5.28515625" customWidth="1"/>
    <col min="5" max="5" width="50.42578125" bestFit="1" customWidth="1"/>
    <col min="6" max="6" width="3" style="1" customWidth="1"/>
    <col min="7" max="7" width="12" style="1" customWidth="1"/>
    <col min="8" max="8" width="11.7109375" style="1" customWidth="1"/>
    <col min="9" max="9" width="7.7109375" style="1" customWidth="1"/>
    <col min="10" max="10" width="9.5703125" style="1" customWidth="1"/>
    <col min="11" max="11" width="8.42578125" style="1" hidden="1" customWidth="1"/>
    <col min="12" max="12" width="9.140625" style="1" hidden="1" customWidth="1"/>
    <col min="13" max="13" width="74.85546875" hidden="1" customWidth="1"/>
    <col min="14" max="14" width="17.28515625" customWidth="1"/>
    <col min="15" max="15" width="11.42578125" customWidth="1"/>
    <col min="16" max="16" width="12.42578125" customWidth="1"/>
    <col min="17" max="17" width="13" customWidth="1"/>
    <col min="18" max="18" width="15.7109375" customWidth="1"/>
    <col min="19" max="19" width="13.28515625" customWidth="1"/>
    <col min="20" max="20" width="10" customWidth="1"/>
    <col min="21" max="21" width="8.140625" customWidth="1"/>
    <col min="22" max="22" width="9.140625" style="1" customWidth="1"/>
    <col min="23" max="23" width="9.5703125" hidden="1" customWidth="1"/>
    <col min="24" max="24" width="15.140625" style="7" customWidth="1"/>
    <col min="25" max="25" width="12" customWidth="1"/>
    <col min="26" max="26" width="15.85546875" customWidth="1"/>
    <col min="27" max="27" width="9.42578125" customWidth="1"/>
    <col min="28" max="28" width="17.42578125" customWidth="1"/>
  </cols>
  <sheetData>
    <row r="1" spans="1:28" ht="22.5" customHeight="1" x14ac:dyDescent="0.25">
      <c r="A1" s="116" t="s">
        <v>182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</row>
    <row r="2" spans="1:28" s="8" customFormat="1" ht="23.25" customHeight="1" x14ac:dyDescent="0.2">
      <c r="A2" s="110" t="s">
        <v>0</v>
      </c>
      <c r="B2" s="108" t="s">
        <v>53</v>
      </c>
      <c r="C2" s="110" t="s">
        <v>1</v>
      </c>
      <c r="D2" s="107" t="s">
        <v>2</v>
      </c>
      <c r="E2" s="112" t="s">
        <v>3</v>
      </c>
      <c r="F2" s="121"/>
      <c r="G2" s="120" t="s">
        <v>66</v>
      </c>
      <c r="H2" s="120"/>
      <c r="I2" s="113" t="s">
        <v>62</v>
      </c>
      <c r="J2" s="114"/>
      <c r="K2" s="113" t="s">
        <v>63</v>
      </c>
      <c r="L2" s="114"/>
      <c r="M2" s="108" t="s">
        <v>11</v>
      </c>
      <c r="N2" s="112" t="s">
        <v>57</v>
      </c>
      <c r="O2" s="115" t="s">
        <v>54</v>
      </c>
      <c r="P2" s="112" t="s">
        <v>56</v>
      </c>
      <c r="Q2" s="119" t="s">
        <v>4</v>
      </c>
      <c r="R2" s="112" t="s">
        <v>58</v>
      </c>
      <c r="S2" s="115" t="s">
        <v>52</v>
      </c>
      <c r="T2" s="112" t="s">
        <v>55</v>
      </c>
      <c r="U2" s="112" t="s">
        <v>59</v>
      </c>
      <c r="V2" s="112" t="s">
        <v>48</v>
      </c>
      <c r="W2" s="112" t="s">
        <v>5</v>
      </c>
      <c r="X2" s="118" t="s">
        <v>49</v>
      </c>
      <c r="Y2" s="112" t="s">
        <v>50</v>
      </c>
      <c r="Z2" s="112" t="s">
        <v>51</v>
      </c>
      <c r="AA2" s="112" t="s">
        <v>60</v>
      </c>
      <c r="AB2" s="53" t="s">
        <v>191</v>
      </c>
    </row>
    <row r="3" spans="1:28" s="36" customFormat="1" ht="38.25" customHeight="1" x14ac:dyDescent="0.2">
      <c r="A3" s="111"/>
      <c r="B3" s="109"/>
      <c r="C3" s="111"/>
      <c r="D3" s="107"/>
      <c r="E3" s="112"/>
      <c r="F3" s="122"/>
      <c r="G3" s="33" t="s">
        <v>67</v>
      </c>
      <c r="H3" s="33" t="s">
        <v>64</v>
      </c>
      <c r="I3" s="33" t="s">
        <v>67</v>
      </c>
      <c r="J3" s="33" t="s">
        <v>64</v>
      </c>
      <c r="K3" s="33"/>
      <c r="L3" s="33" t="s">
        <v>65</v>
      </c>
      <c r="M3" s="109"/>
      <c r="N3" s="112"/>
      <c r="O3" s="115"/>
      <c r="P3" s="112"/>
      <c r="Q3" s="119"/>
      <c r="R3" s="112"/>
      <c r="S3" s="115"/>
      <c r="T3" s="112"/>
      <c r="U3" s="112"/>
      <c r="V3" s="112"/>
      <c r="W3" s="112"/>
      <c r="X3" s="118"/>
      <c r="Y3" s="112"/>
      <c r="Z3" s="112"/>
      <c r="AA3" s="112"/>
      <c r="AB3" s="52">
        <f>AB180</f>
        <v>193180300000</v>
      </c>
    </row>
    <row r="4" spans="1:28" x14ac:dyDescent="0.25">
      <c r="A4" s="40">
        <v>1</v>
      </c>
      <c r="B4" s="40">
        <v>1045</v>
      </c>
      <c r="C4" s="40">
        <v>2025</v>
      </c>
      <c r="D4" s="40">
        <v>6</v>
      </c>
      <c r="E4" s="58" t="s">
        <v>69</v>
      </c>
      <c r="F4" s="41">
        <v>2</v>
      </c>
      <c r="G4" s="42">
        <v>1</v>
      </c>
      <c r="H4" s="42">
        <f>SUM($Y$4:Y4)</f>
        <v>351013</v>
      </c>
      <c r="I4" s="40">
        <v>1</v>
      </c>
      <c r="J4" s="43">
        <f t="shared" ref="J4" si="0">ROUNDUP(K4,0)</f>
        <v>352</v>
      </c>
      <c r="K4" s="44">
        <f>Y4/1000</f>
        <v>351.01299999999998</v>
      </c>
      <c r="L4" s="45">
        <f>+J4*1000-SUM($Y$4:Y4)</f>
        <v>987</v>
      </c>
      <c r="M4" s="95" t="s">
        <v>206</v>
      </c>
      <c r="N4" s="40" t="s">
        <v>6</v>
      </c>
      <c r="O4" s="40" t="s">
        <v>7</v>
      </c>
      <c r="P4" s="54">
        <v>734707</v>
      </c>
      <c r="Q4" s="41" t="s">
        <v>8</v>
      </c>
      <c r="R4" s="47">
        <v>26644</v>
      </c>
      <c r="S4" s="41" t="s">
        <v>8</v>
      </c>
      <c r="T4" s="48">
        <v>100000</v>
      </c>
      <c r="U4" s="48" t="s">
        <v>10</v>
      </c>
      <c r="V4" s="49">
        <v>5</v>
      </c>
      <c r="W4" s="48"/>
      <c r="X4" s="50">
        <f t="shared" ref="X4" si="1">AB4/$AB$3</f>
        <v>0.18170227502493785</v>
      </c>
      <c r="Y4" s="51">
        <f t="shared" ref="Y4" si="2">AB4/100000</f>
        <v>351013</v>
      </c>
      <c r="Z4" s="96">
        <f t="shared" ref="Z4" si="3">Y4*5</f>
        <v>1755065</v>
      </c>
      <c r="AA4" s="68">
        <v>0</v>
      </c>
      <c r="AB4" s="75">
        <f>33051300000+2000000000+50000000</f>
        <v>35101300000</v>
      </c>
    </row>
    <row r="5" spans="1:28" x14ac:dyDescent="0.25">
      <c r="A5" s="40">
        <v>2</v>
      </c>
      <c r="B5" s="40">
        <v>1045</v>
      </c>
      <c r="C5" s="40">
        <v>2025</v>
      </c>
      <c r="D5" s="40">
        <v>6</v>
      </c>
      <c r="E5" s="59" t="s">
        <v>70</v>
      </c>
      <c r="F5" s="41">
        <v>2</v>
      </c>
      <c r="G5" s="42">
        <f t="shared" ref="G5:G36" si="4">H4+$G$4</f>
        <v>351014</v>
      </c>
      <c r="H5" s="42">
        <f>SUM($Y$4:Y5)</f>
        <v>525817</v>
      </c>
      <c r="I5" s="43">
        <f t="shared" ref="I5:I23" si="5">J4</f>
        <v>352</v>
      </c>
      <c r="J5" s="43">
        <f t="shared" ref="J5:J36" si="6">ROUNDUP(K5,0)</f>
        <v>526</v>
      </c>
      <c r="K5" s="44">
        <f t="shared" ref="K5:K36" si="7">+H5/1000</f>
        <v>525.81700000000001</v>
      </c>
      <c r="L5" s="45">
        <f>+J5*1000-SUM($Y$4:Y5)</f>
        <v>183</v>
      </c>
      <c r="M5" s="95" t="s">
        <v>207</v>
      </c>
      <c r="N5" s="40" t="s">
        <v>6</v>
      </c>
      <c r="O5" s="40" t="s">
        <v>7</v>
      </c>
      <c r="P5" s="54">
        <v>831162</v>
      </c>
      <c r="Q5" s="41" t="s">
        <v>8</v>
      </c>
      <c r="R5" s="47">
        <v>27155</v>
      </c>
      <c r="S5" s="41" t="s">
        <v>8</v>
      </c>
      <c r="T5" s="48">
        <v>100000</v>
      </c>
      <c r="U5" s="48" t="s">
        <v>10</v>
      </c>
      <c r="V5" s="49">
        <v>5</v>
      </c>
      <c r="W5" s="48"/>
      <c r="X5" s="50">
        <f t="shared" ref="X5:X36" si="8">AB5/$AB$3</f>
        <v>9.0487487595784871E-2</v>
      </c>
      <c r="Y5" s="51">
        <f t="shared" ref="Y5:Y36" si="9">AB5/100000</f>
        <v>174804</v>
      </c>
      <c r="Z5" s="96">
        <f t="shared" ref="Z5:Z36" si="10">Y5*5</f>
        <v>874020</v>
      </c>
      <c r="AA5" s="68">
        <v>0</v>
      </c>
      <c r="AB5" s="75">
        <v>17480400000</v>
      </c>
    </row>
    <row r="6" spans="1:28" x14ac:dyDescent="0.25">
      <c r="A6" s="40">
        <v>3</v>
      </c>
      <c r="B6" s="40">
        <v>1045</v>
      </c>
      <c r="C6" s="40">
        <v>2025</v>
      </c>
      <c r="D6" s="40">
        <v>6</v>
      </c>
      <c r="E6" s="59" t="s">
        <v>71</v>
      </c>
      <c r="F6" s="41">
        <v>2</v>
      </c>
      <c r="G6" s="42">
        <f t="shared" si="4"/>
        <v>525818</v>
      </c>
      <c r="H6" s="42">
        <f>SUM($Y$4:Y6)</f>
        <v>687064</v>
      </c>
      <c r="I6" s="43">
        <f t="shared" si="5"/>
        <v>526</v>
      </c>
      <c r="J6" s="43">
        <f t="shared" si="6"/>
        <v>688</v>
      </c>
      <c r="K6" s="44">
        <f t="shared" si="7"/>
        <v>687.06399999999996</v>
      </c>
      <c r="L6" s="45">
        <f>+J6*1000-SUM($Y$4:Y6)</f>
        <v>936</v>
      </c>
      <c r="M6" s="95" t="s">
        <v>208</v>
      </c>
      <c r="N6" s="40" t="s">
        <v>6</v>
      </c>
      <c r="O6" s="40" t="s">
        <v>7</v>
      </c>
      <c r="P6" s="54">
        <v>1003307</v>
      </c>
      <c r="Q6" s="41" t="s">
        <v>8</v>
      </c>
      <c r="R6" s="47">
        <v>28374</v>
      </c>
      <c r="S6" s="41" t="s">
        <v>8</v>
      </c>
      <c r="T6" s="48">
        <v>100000</v>
      </c>
      <c r="U6" s="48" t="s">
        <v>10</v>
      </c>
      <c r="V6" s="49">
        <v>5</v>
      </c>
      <c r="W6" s="48"/>
      <c r="X6" s="50">
        <f t="shared" si="8"/>
        <v>8.3469691267691368E-2</v>
      </c>
      <c r="Y6" s="51">
        <f t="shared" si="9"/>
        <v>161247</v>
      </c>
      <c r="Z6" s="96">
        <f t="shared" si="10"/>
        <v>806235</v>
      </c>
      <c r="AA6" s="68">
        <v>0</v>
      </c>
      <c r="AB6" s="75">
        <v>16124700000</v>
      </c>
    </row>
    <row r="7" spans="1:28" x14ac:dyDescent="0.25">
      <c r="A7" s="40">
        <v>4</v>
      </c>
      <c r="B7" s="40">
        <v>1045</v>
      </c>
      <c r="C7" s="40">
        <v>2025</v>
      </c>
      <c r="D7" s="40">
        <v>12</v>
      </c>
      <c r="E7" s="59" t="s">
        <v>80</v>
      </c>
      <c r="F7" s="41">
        <v>8</v>
      </c>
      <c r="G7" s="42">
        <f t="shared" si="4"/>
        <v>687065</v>
      </c>
      <c r="H7" s="42">
        <f>SUM($Y$4:Y7)</f>
        <v>771970</v>
      </c>
      <c r="I7" s="43">
        <f t="shared" si="5"/>
        <v>688</v>
      </c>
      <c r="J7" s="43">
        <f t="shared" si="6"/>
        <v>772</v>
      </c>
      <c r="K7" s="44">
        <f t="shared" si="7"/>
        <v>771.97</v>
      </c>
      <c r="L7" s="45">
        <f>+J7*1000-SUM($Y$4:Y7)</f>
        <v>30</v>
      </c>
      <c r="M7" s="95" t="s">
        <v>209</v>
      </c>
      <c r="N7" s="40" t="s">
        <v>6</v>
      </c>
      <c r="O7" s="40" t="s">
        <v>7</v>
      </c>
      <c r="P7" s="54">
        <v>927344</v>
      </c>
      <c r="Q7" s="41" t="s">
        <v>8</v>
      </c>
      <c r="R7" s="47">
        <v>26764</v>
      </c>
      <c r="S7" s="41" t="s">
        <v>8</v>
      </c>
      <c r="T7" s="48">
        <v>100000</v>
      </c>
      <c r="U7" s="48" t="s">
        <v>10</v>
      </c>
      <c r="V7" s="49">
        <v>5</v>
      </c>
      <c r="W7" s="48"/>
      <c r="X7" s="50">
        <f t="shared" si="8"/>
        <v>4.395168658501928E-2</v>
      </c>
      <c r="Y7" s="51">
        <f t="shared" si="9"/>
        <v>84906</v>
      </c>
      <c r="Z7" s="96">
        <f t="shared" si="10"/>
        <v>424530</v>
      </c>
      <c r="AA7" s="68">
        <v>0</v>
      </c>
      <c r="AB7" s="75">
        <f>6490600000+2000000000</f>
        <v>8490600000</v>
      </c>
    </row>
    <row r="8" spans="1:28" x14ac:dyDescent="0.25">
      <c r="A8" s="40">
        <v>5</v>
      </c>
      <c r="B8" s="40">
        <v>1045</v>
      </c>
      <c r="C8" s="40">
        <v>2025</v>
      </c>
      <c r="D8" s="40">
        <v>12</v>
      </c>
      <c r="E8" s="59" t="s">
        <v>192</v>
      </c>
      <c r="F8" s="41">
        <v>0</v>
      </c>
      <c r="G8" s="42">
        <f t="shared" si="4"/>
        <v>771971</v>
      </c>
      <c r="H8" s="42">
        <f>SUM($Y$4:Y8)</f>
        <v>855480</v>
      </c>
      <c r="I8" s="43">
        <f t="shared" si="5"/>
        <v>772</v>
      </c>
      <c r="J8" s="43">
        <f t="shared" si="6"/>
        <v>856</v>
      </c>
      <c r="K8" s="44">
        <f t="shared" si="7"/>
        <v>855.48</v>
      </c>
      <c r="L8" s="45">
        <f>+J8*1000-SUM($Y$4:Y8)</f>
        <v>520</v>
      </c>
      <c r="M8" s="46"/>
      <c r="N8" s="40" t="s">
        <v>193</v>
      </c>
      <c r="O8" s="40" t="s">
        <v>194</v>
      </c>
      <c r="P8" s="54" t="s">
        <v>195</v>
      </c>
      <c r="Q8" s="41" t="s">
        <v>8</v>
      </c>
      <c r="R8" s="47"/>
      <c r="S8" s="41" t="s">
        <v>8</v>
      </c>
      <c r="T8" s="48">
        <v>100000</v>
      </c>
      <c r="U8" s="48" t="s">
        <v>10</v>
      </c>
      <c r="V8" s="49">
        <v>5</v>
      </c>
      <c r="W8" s="48"/>
      <c r="X8" s="50">
        <f t="shared" si="8"/>
        <v>4.3229045611793748E-2</v>
      </c>
      <c r="Y8" s="51">
        <f t="shared" si="9"/>
        <v>83510</v>
      </c>
      <c r="Z8" s="96">
        <f t="shared" si="10"/>
        <v>417550</v>
      </c>
      <c r="AA8" s="68">
        <v>0</v>
      </c>
      <c r="AB8" s="75">
        <f>8144000000+207000000</f>
        <v>8351000000</v>
      </c>
    </row>
    <row r="9" spans="1:28" x14ac:dyDescent="0.25">
      <c r="A9" s="40">
        <v>6</v>
      </c>
      <c r="B9" s="40">
        <v>1045</v>
      </c>
      <c r="C9" s="40">
        <v>2025</v>
      </c>
      <c r="D9" s="40">
        <v>12</v>
      </c>
      <c r="E9" s="59" t="s">
        <v>72</v>
      </c>
      <c r="F9" s="41">
        <v>2</v>
      </c>
      <c r="G9" s="42">
        <f t="shared" si="4"/>
        <v>855481</v>
      </c>
      <c r="H9" s="42">
        <f>SUM($Y$4:Y9)</f>
        <v>907678</v>
      </c>
      <c r="I9" s="43">
        <f t="shared" si="5"/>
        <v>856</v>
      </c>
      <c r="J9" s="43">
        <f t="shared" si="6"/>
        <v>908</v>
      </c>
      <c r="K9" s="44">
        <f t="shared" si="7"/>
        <v>907.678</v>
      </c>
      <c r="L9" s="45">
        <f>+J9*1000-SUM($Y$4:Y9)</f>
        <v>322</v>
      </c>
      <c r="M9" s="95" t="s">
        <v>214</v>
      </c>
      <c r="N9" s="40" t="s">
        <v>6</v>
      </c>
      <c r="O9" s="40" t="s">
        <v>7</v>
      </c>
      <c r="P9" s="54">
        <v>215077</v>
      </c>
      <c r="Q9" s="41" t="s">
        <v>8</v>
      </c>
      <c r="R9" s="47">
        <v>15725</v>
      </c>
      <c r="S9" s="41" t="s">
        <v>8</v>
      </c>
      <c r="T9" s="48">
        <v>100000</v>
      </c>
      <c r="U9" s="48" t="s">
        <v>10</v>
      </c>
      <c r="V9" s="49">
        <v>5</v>
      </c>
      <c r="W9" s="48"/>
      <c r="X9" s="50">
        <f t="shared" si="8"/>
        <v>2.7020353524660642E-2</v>
      </c>
      <c r="Y9" s="51">
        <f t="shared" si="9"/>
        <v>52198</v>
      </c>
      <c r="Z9" s="96">
        <f t="shared" si="10"/>
        <v>260990</v>
      </c>
      <c r="AA9" s="68">
        <v>0</v>
      </c>
      <c r="AB9" s="75">
        <f>4919800000+300000000</f>
        <v>5219800000</v>
      </c>
    </row>
    <row r="10" spans="1:28" x14ac:dyDescent="0.25">
      <c r="A10" s="40">
        <v>7</v>
      </c>
      <c r="B10" s="40">
        <v>1045</v>
      </c>
      <c r="C10" s="40">
        <v>2025</v>
      </c>
      <c r="D10" s="40">
        <v>12</v>
      </c>
      <c r="E10" s="58" t="s">
        <v>184</v>
      </c>
      <c r="F10" s="41">
        <v>8</v>
      </c>
      <c r="G10" s="42">
        <f t="shared" si="4"/>
        <v>907679</v>
      </c>
      <c r="H10" s="42">
        <f>SUM($Y$4:Y10)</f>
        <v>957881</v>
      </c>
      <c r="I10" s="43">
        <f t="shared" si="5"/>
        <v>908</v>
      </c>
      <c r="J10" s="43">
        <f t="shared" si="6"/>
        <v>958</v>
      </c>
      <c r="K10" s="44">
        <f t="shared" si="7"/>
        <v>957.88099999999997</v>
      </c>
      <c r="L10" s="45">
        <f>+J10*1000-SUM($Y$4:Y10)</f>
        <v>119</v>
      </c>
      <c r="M10" s="95" t="s">
        <v>210</v>
      </c>
      <c r="N10" s="40" t="s">
        <v>6</v>
      </c>
      <c r="O10" s="40" t="s">
        <v>7</v>
      </c>
      <c r="P10" s="54">
        <v>927342</v>
      </c>
      <c r="Q10" s="41" t="s">
        <v>8</v>
      </c>
      <c r="R10" s="47">
        <v>25454</v>
      </c>
      <c r="S10" s="41" t="s">
        <v>8</v>
      </c>
      <c r="T10" s="48">
        <v>100000</v>
      </c>
      <c r="U10" s="48" t="s">
        <v>10</v>
      </c>
      <c r="V10" s="49">
        <v>5</v>
      </c>
      <c r="W10" s="48"/>
      <c r="X10" s="50">
        <f t="shared" si="8"/>
        <v>2.5987639526390632E-2</v>
      </c>
      <c r="Y10" s="51">
        <f t="shared" si="9"/>
        <v>50203</v>
      </c>
      <c r="Z10" s="96">
        <f t="shared" si="10"/>
        <v>251015</v>
      </c>
      <c r="AA10" s="68">
        <v>0</v>
      </c>
      <c r="AB10" s="75">
        <f>4020300000+1000000000</f>
        <v>5020300000</v>
      </c>
    </row>
    <row r="11" spans="1:28" x14ac:dyDescent="0.25">
      <c r="A11" s="40">
        <v>8</v>
      </c>
      <c r="B11" s="40">
        <v>1045</v>
      </c>
      <c r="C11" s="40">
        <v>2025</v>
      </c>
      <c r="D11" s="40">
        <v>12</v>
      </c>
      <c r="E11" s="59" t="s">
        <v>74</v>
      </c>
      <c r="F11" s="41">
        <v>3</v>
      </c>
      <c r="G11" s="42">
        <f t="shared" si="4"/>
        <v>957882</v>
      </c>
      <c r="H11" s="42">
        <f>SUM($Y$4:Y11)</f>
        <v>1002478</v>
      </c>
      <c r="I11" s="43">
        <f t="shared" si="5"/>
        <v>958</v>
      </c>
      <c r="J11" s="43">
        <f t="shared" si="6"/>
        <v>1003</v>
      </c>
      <c r="K11" s="44">
        <f t="shared" si="7"/>
        <v>1002.478</v>
      </c>
      <c r="L11" s="45">
        <f>+J11*1000-SUM($Y$4:Y11)</f>
        <v>522</v>
      </c>
      <c r="M11" s="46" t="s">
        <v>16</v>
      </c>
      <c r="N11" s="40" t="s">
        <v>6</v>
      </c>
      <c r="O11" s="40" t="s">
        <v>7</v>
      </c>
      <c r="P11" s="54">
        <v>916450</v>
      </c>
      <c r="Q11" s="41" t="s">
        <v>8</v>
      </c>
      <c r="R11" s="47">
        <v>23987</v>
      </c>
      <c r="S11" s="41" t="s">
        <v>8</v>
      </c>
      <c r="T11" s="48">
        <v>100000</v>
      </c>
      <c r="U11" s="48" t="s">
        <v>10</v>
      </c>
      <c r="V11" s="49">
        <v>5</v>
      </c>
      <c r="W11" s="48"/>
      <c r="X11" s="50">
        <f t="shared" si="8"/>
        <v>2.3085687308695556E-2</v>
      </c>
      <c r="Y11" s="51">
        <f t="shared" si="9"/>
        <v>44597</v>
      </c>
      <c r="Z11" s="96">
        <f t="shared" si="10"/>
        <v>222985</v>
      </c>
      <c r="AA11" s="68">
        <v>0</v>
      </c>
      <c r="AB11" s="75">
        <v>4459700000</v>
      </c>
    </row>
    <row r="12" spans="1:28" x14ac:dyDescent="0.25">
      <c r="A12" s="40">
        <v>9</v>
      </c>
      <c r="B12" s="40">
        <v>1045</v>
      </c>
      <c r="C12" s="40">
        <v>2025</v>
      </c>
      <c r="D12" s="40">
        <v>12</v>
      </c>
      <c r="E12" s="59" t="s">
        <v>75</v>
      </c>
      <c r="F12" s="41">
        <v>3</v>
      </c>
      <c r="G12" s="42">
        <f t="shared" si="4"/>
        <v>1002479</v>
      </c>
      <c r="H12" s="42">
        <f>SUM($Y$4:Y12)</f>
        <v>1047075</v>
      </c>
      <c r="I12" s="43">
        <f t="shared" si="5"/>
        <v>1003</v>
      </c>
      <c r="J12" s="43">
        <f t="shared" si="6"/>
        <v>1048</v>
      </c>
      <c r="K12" s="44">
        <f t="shared" si="7"/>
        <v>1047.075</v>
      </c>
      <c r="L12" s="45">
        <f>+J12*1000-SUM($Y$4:Y12)</f>
        <v>925</v>
      </c>
      <c r="M12" s="46" t="s">
        <v>116</v>
      </c>
      <c r="N12" s="40" t="s">
        <v>6</v>
      </c>
      <c r="O12" s="40" t="s">
        <v>7</v>
      </c>
      <c r="P12" s="54">
        <v>990079</v>
      </c>
      <c r="Q12" s="41" t="s">
        <v>8</v>
      </c>
      <c r="R12" s="47">
        <v>24441</v>
      </c>
      <c r="S12" s="41" t="s">
        <v>8</v>
      </c>
      <c r="T12" s="48">
        <v>100000</v>
      </c>
      <c r="U12" s="48" t="s">
        <v>10</v>
      </c>
      <c r="V12" s="49">
        <v>5</v>
      </c>
      <c r="W12" s="48"/>
      <c r="X12" s="50">
        <f t="shared" si="8"/>
        <v>2.3085687308695556E-2</v>
      </c>
      <c r="Y12" s="51">
        <f t="shared" si="9"/>
        <v>44597</v>
      </c>
      <c r="Z12" s="96">
        <f t="shared" si="10"/>
        <v>222985</v>
      </c>
      <c r="AA12" s="68">
        <v>0</v>
      </c>
      <c r="AB12" s="75">
        <v>4459700000</v>
      </c>
    </row>
    <row r="13" spans="1:28" x14ac:dyDescent="0.25">
      <c r="A13" s="40">
        <v>10</v>
      </c>
      <c r="B13" s="40">
        <v>1045</v>
      </c>
      <c r="C13" s="40">
        <v>2025</v>
      </c>
      <c r="D13" s="40">
        <v>12</v>
      </c>
      <c r="E13" s="59" t="s">
        <v>76</v>
      </c>
      <c r="F13" s="41">
        <v>3</v>
      </c>
      <c r="G13" s="42">
        <f t="shared" si="4"/>
        <v>1047076</v>
      </c>
      <c r="H13" s="42">
        <f>SUM($Y$4:Y13)</f>
        <v>1091672</v>
      </c>
      <c r="I13" s="43">
        <f t="shared" si="5"/>
        <v>1048</v>
      </c>
      <c r="J13" s="43">
        <f t="shared" si="6"/>
        <v>1092</v>
      </c>
      <c r="K13" s="44">
        <f t="shared" si="7"/>
        <v>1091.672</v>
      </c>
      <c r="L13" s="45">
        <f>+J13*1000-SUM($Y$4:Y13)</f>
        <v>328</v>
      </c>
      <c r="M13" s="46" t="s">
        <v>117</v>
      </c>
      <c r="N13" s="40" t="s">
        <v>6</v>
      </c>
      <c r="O13" s="40" t="s">
        <v>7</v>
      </c>
      <c r="P13" s="54">
        <v>1421143</v>
      </c>
      <c r="Q13" s="41" t="s">
        <v>8</v>
      </c>
      <c r="R13" s="47">
        <v>27367</v>
      </c>
      <c r="S13" s="41" t="s">
        <v>8</v>
      </c>
      <c r="T13" s="48">
        <v>100000</v>
      </c>
      <c r="U13" s="48" t="s">
        <v>10</v>
      </c>
      <c r="V13" s="49">
        <v>5</v>
      </c>
      <c r="W13" s="48"/>
      <c r="X13" s="50">
        <f t="shared" si="8"/>
        <v>2.3085687308695556E-2</v>
      </c>
      <c r="Y13" s="51">
        <f t="shared" si="9"/>
        <v>44597</v>
      </c>
      <c r="Z13" s="96">
        <f t="shared" si="10"/>
        <v>222985</v>
      </c>
      <c r="AA13" s="68">
        <v>0</v>
      </c>
      <c r="AB13" s="75">
        <v>4459700000</v>
      </c>
    </row>
    <row r="14" spans="1:28" x14ac:dyDescent="0.25">
      <c r="A14" s="40">
        <v>11</v>
      </c>
      <c r="B14" s="40">
        <v>1045</v>
      </c>
      <c r="C14" s="40">
        <v>2025</v>
      </c>
      <c r="D14" s="40">
        <v>12</v>
      </c>
      <c r="E14" s="59" t="s">
        <v>77</v>
      </c>
      <c r="F14" s="41">
        <v>3</v>
      </c>
      <c r="G14" s="42">
        <f t="shared" si="4"/>
        <v>1091673</v>
      </c>
      <c r="H14" s="42">
        <f>SUM($Y$4:Y14)</f>
        <v>1136269</v>
      </c>
      <c r="I14" s="43">
        <f t="shared" si="5"/>
        <v>1092</v>
      </c>
      <c r="J14" s="43">
        <f t="shared" si="6"/>
        <v>1137</v>
      </c>
      <c r="K14" s="44">
        <f t="shared" si="7"/>
        <v>1136.269</v>
      </c>
      <c r="L14" s="45">
        <f>+J14*1000-SUM($Y$4:Y14)</f>
        <v>731</v>
      </c>
      <c r="M14" s="46" t="s">
        <v>118</v>
      </c>
      <c r="N14" s="40" t="s">
        <v>6</v>
      </c>
      <c r="O14" s="40" t="s">
        <v>7</v>
      </c>
      <c r="P14" s="54">
        <v>990080</v>
      </c>
      <c r="Q14" s="41" t="s">
        <v>8</v>
      </c>
      <c r="R14" s="47">
        <v>25111</v>
      </c>
      <c r="S14" s="41" t="s">
        <v>8</v>
      </c>
      <c r="T14" s="48">
        <v>100000</v>
      </c>
      <c r="U14" s="48" t="s">
        <v>10</v>
      </c>
      <c r="V14" s="49">
        <v>5</v>
      </c>
      <c r="W14" s="48"/>
      <c r="X14" s="50">
        <f t="shared" si="8"/>
        <v>2.3085687308695556E-2</v>
      </c>
      <c r="Y14" s="51">
        <f t="shared" si="9"/>
        <v>44597</v>
      </c>
      <c r="Z14" s="96">
        <f t="shared" si="10"/>
        <v>222985</v>
      </c>
      <c r="AA14" s="68">
        <v>0</v>
      </c>
      <c r="AB14" s="75">
        <v>4459700000</v>
      </c>
    </row>
    <row r="15" spans="1:28" x14ac:dyDescent="0.25">
      <c r="A15" s="40">
        <v>12</v>
      </c>
      <c r="B15" s="40">
        <v>1045</v>
      </c>
      <c r="C15" s="40">
        <v>2025</v>
      </c>
      <c r="D15" s="40">
        <v>12</v>
      </c>
      <c r="E15" s="59" t="s">
        <v>78</v>
      </c>
      <c r="F15" s="41">
        <v>3</v>
      </c>
      <c r="G15" s="42">
        <f t="shared" si="4"/>
        <v>1136270</v>
      </c>
      <c r="H15" s="42">
        <f>SUM($Y$4:Y15)</f>
        <v>1180866</v>
      </c>
      <c r="I15" s="43">
        <f t="shared" si="5"/>
        <v>1137</v>
      </c>
      <c r="J15" s="43">
        <f t="shared" si="6"/>
        <v>1181</v>
      </c>
      <c r="K15" s="44">
        <f t="shared" si="7"/>
        <v>1180.866</v>
      </c>
      <c r="L15" s="45">
        <f>+J15*1000-SUM($Y$4:Y15)</f>
        <v>134</v>
      </c>
      <c r="M15" s="46" t="s">
        <v>119</v>
      </c>
      <c r="N15" s="40" t="s">
        <v>6</v>
      </c>
      <c r="O15" s="40" t="s">
        <v>7</v>
      </c>
      <c r="P15" s="54">
        <v>1421144</v>
      </c>
      <c r="Q15" s="41" t="s">
        <v>8</v>
      </c>
      <c r="R15" s="47">
        <v>27788</v>
      </c>
      <c r="S15" s="41" t="s">
        <v>8</v>
      </c>
      <c r="T15" s="48">
        <v>100000</v>
      </c>
      <c r="U15" s="48" t="s">
        <v>10</v>
      </c>
      <c r="V15" s="49">
        <v>5</v>
      </c>
      <c r="W15" s="48"/>
      <c r="X15" s="50">
        <f t="shared" si="8"/>
        <v>2.3085687308695556E-2</v>
      </c>
      <c r="Y15" s="51">
        <f t="shared" si="9"/>
        <v>44597</v>
      </c>
      <c r="Z15" s="96">
        <f t="shared" si="10"/>
        <v>222985</v>
      </c>
      <c r="AA15" s="68">
        <v>0</v>
      </c>
      <c r="AB15" s="75">
        <v>4459700000</v>
      </c>
    </row>
    <row r="16" spans="1:28" x14ac:dyDescent="0.25">
      <c r="A16" s="40">
        <v>13</v>
      </c>
      <c r="B16" s="40">
        <v>1045</v>
      </c>
      <c r="C16" s="40">
        <v>2025</v>
      </c>
      <c r="D16" s="40">
        <v>12</v>
      </c>
      <c r="E16" s="59" t="s">
        <v>79</v>
      </c>
      <c r="F16" s="41">
        <v>3</v>
      </c>
      <c r="G16" s="42">
        <f t="shared" si="4"/>
        <v>1180867</v>
      </c>
      <c r="H16" s="42">
        <f>SUM($Y$4:Y16)</f>
        <v>1225463</v>
      </c>
      <c r="I16" s="43">
        <f t="shared" si="5"/>
        <v>1181</v>
      </c>
      <c r="J16" s="43">
        <f t="shared" si="6"/>
        <v>1226</v>
      </c>
      <c r="K16" s="44">
        <f t="shared" si="7"/>
        <v>1225.463</v>
      </c>
      <c r="L16" s="45">
        <f>+J16*1000-SUM($Y$4:Y16)</f>
        <v>537</v>
      </c>
      <c r="M16" s="46" t="s">
        <v>120</v>
      </c>
      <c r="N16" s="40" t="s">
        <v>6</v>
      </c>
      <c r="O16" s="40" t="s">
        <v>7</v>
      </c>
      <c r="P16" s="54">
        <v>916449</v>
      </c>
      <c r="Q16" s="41" t="s">
        <v>8</v>
      </c>
      <c r="R16" s="47">
        <v>23987</v>
      </c>
      <c r="S16" s="41" t="s">
        <v>8</v>
      </c>
      <c r="T16" s="48">
        <v>100000</v>
      </c>
      <c r="U16" s="48" t="s">
        <v>10</v>
      </c>
      <c r="V16" s="49">
        <v>5</v>
      </c>
      <c r="W16" s="48"/>
      <c r="X16" s="50">
        <f t="shared" si="8"/>
        <v>2.3085687308695556E-2</v>
      </c>
      <c r="Y16" s="51">
        <f t="shared" si="9"/>
        <v>44597</v>
      </c>
      <c r="Z16" s="96">
        <f t="shared" si="10"/>
        <v>222985</v>
      </c>
      <c r="AA16" s="68">
        <v>0</v>
      </c>
      <c r="AB16" s="75">
        <v>4459700000</v>
      </c>
    </row>
    <row r="17" spans="1:28" x14ac:dyDescent="0.25">
      <c r="A17" s="40">
        <v>14</v>
      </c>
      <c r="B17" s="40">
        <v>1045</v>
      </c>
      <c r="C17" s="40">
        <v>2025</v>
      </c>
      <c r="D17" s="40">
        <v>12</v>
      </c>
      <c r="E17" s="59" t="s">
        <v>73</v>
      </c>
      <c r="F17" s="41">
        <v>0</v>
      </c>
      <c r="G17" s="42">
        <f t="shared" si="4"/>
        <v>1225464</v>
      </c>
      <c r="H17" s="42">
        <f>SUM($Y$4:Y17)</f>
        <v>1267768</v>
      </c>
      <c r="I17" s="43">
        <f t="shared" si="5"/>
        <v>1226</v>
      </c>
      <c r="J17" s="43">
        <f t="shared" si="6"/>
        <v>1268</v>
      </c>
      <c r="K17" s="44">
        <f t="shared" si="7"/>
        <v>1267.768</v>
      </c>
      <c r="L17" s="45">
        <f>+J17*1000-SUM($Y$4:Y17)</f>
        <v>232</v>
      </c>
      <c r="M17" s="46"/>
      <c r="N17" s="40" t="s">
        <v>6</v>
      </c>
      <c r="O17" s="40" t="s">
        <v>7</v>
      </c>
      <c r="P17" s="54">
        <v>303311</v>
      </c>
      <c r="Q17" s="41" t="s">
        <v>9</v>
      </c>
      <c r="R17" s="47">
        <v>12082</v>
      </c>
      <c r="S17" s="41" t="s">
        <v>8</v>
      </c>
      <c r="T17" s="48">
        <v>100000</v>
      </c>
      <c r="U17" s="48" t="s">
        <v>10</v>
      </c>
      <c r="V17" s="49">
        <v>5</v>
      </c>
      <c r="W17" s="48"/>
      <c r="X17" s="50">
        <f t="shared" si="8"/>
        <v>2.1899230925720686E-2</v>
      </c>
      <c r="Y17" s="51">
        <f t="shared" si="9"/>
        <v>42305</v>
      </c>
      <c r="Z17" s="96">
        <f t="shared" si="10"/>
        <v>211525</v>
      </c>
      <c r="AA17" s="68">
        <v>0</v>
      </c>
      <c r="AB17" s="75">
        <v>4230500000</v>
      </c>
    </row>
    <row r="18" spans="1:28" x14ac:dyDescent="0.25">
      <c r="A18" s="40">
        <v>15</v>
      </c>
      <c r="B18" s="40">
        <v>1045</v>
      </c>
      <c r="C18" s="40">
        <v>2025</v>
      </c>
      <c r="D18" s="40">
        <v>12</v>
      </c>
      <c r="E18" s="59" t="s">
        <v>233</v>
      </c>
      <c r="F18" s="41">
        <v>0</v>
      </c>
      <c r="G18" s="42">
        <f t="shared" si="4"/>
        <v>1267769</v>
      </c>
      <c r="H18" s="42">
        <f>SUM($Y$4:Y18)</f>
        <v>1299512</v>
      </c>
      <c r="I18" s="43">
        <f t="shared" si="5"/>
        <v>1268</v>
      </c>
      <c r="J18" s="43">
        <f t="shared" si="6"/>
        <v>1300</v>
      </c>
      <c r="K18" s="44">
        <f t="shared" si="7"/>
        <v>1299.5119999999999</v>
      </c>
      <c r="L18" s="45">
        <f>+J18*1000-SUM($Y$4:Y18)</f>
        <v>488</v>
      </c>
      <c r="M18" s="46"/>
      <c r="N18" s="40" t="s">
        <v>6</v>
      </c>
      <c r="O18" s="40" t="s">
        <v>7</v>
      </c>
      <c r="P18" s="54">
        <v>1026287</v>
      </c>
      <c r="Q18" s="41" t="s">
        <v>8</v>
      </c>
      <c r="R18" s="47">
        <v>25207</v>
      </c>
      <c r="S18" s="41" t="s">
        <v>8</v>
      </c>
      <c r="T18" s="48">
        <v>100000</v>
      </c>
      <c r="U18" s="48" t="s">
        <v>10</v>
      </c>
      <c r="V18" s="49">
        <v>5</v>
      </c>
      <c r="W18" s="48"/>
      <c r="X18" s="50">
        <f t="shared" si="8"/>
        <v>1.6432317373976539E-2</v>
      </c>
      <c r="Y18" s="51">
        <f t="shared" si="9"/>
        <v>31744</v>
      </c>
      <c r="Z18" s="96">
        <f t="shared" si="10"/>
        <v>158720</v>
      </c>
      <c r="AA18" s="68">
        <v>0</v>
      </c>
      <c r="AB18" s="75">
        <f>2695800000+164300000+164300000+150000000</f>
        <v>3174400000</v>
      </c>
    </row>
    <row r="19" spans="1:28" x14ac:dyDescent="0.25">
      <c r="A19" s="40">
        <v>16</v>
      </c>
      <c r="B19" s="40">
        <v>1045</v>
      </c>
      <c r="C19" s="40">
        <v>2025</v>
      </c>
      <c r="D19" s="40">
        <v>12</v>
      </c>
      <c r="E19" s="58" t="s">
        <v>196</v>
      </c>
      <c r="F19" s="41">
        <v>16</v>
      </c>
      <c r="G19" s="42">
        <f t="shared" si="4"/>
        <v>1299513</v>
      </c>
      <c r="H19" s="42">
        <f>SUM($Y$4:Y19)</f>
        <v>1320471</v>
      </c>
      <c r="I19" s="43">
        <f t="shared" si="5"/>
        <v>1300</v>
      </c>
      <c r="J19" s="43">
        <f t="shared" si="6"/>
        <v>1321</v>
      </c>
      <c r="K19" s="44">
        <f t="shared" si="7"/>
        <v>1320.471</v>
      </c>
      <c r="L19" s="45">
        <f>+J19*1000-SUM($Y$4:Y19)</f>
        <v>529</v>
      </c>
      <c r="M19" s="46"/>
      <c r="N19" s="40" t="s">
        <v>193</v>
      </c>
      <c r="O19" s="40" t="s">
        <v>194</v>
      </c>
      <c r="P19" s="82">
        <v>80048953</v>
      </c>
      <c r="Q19" s="41" t="s">
        <v>8</v>
      </c>
      <c r="R19" s="47"/>
      <c r="S19" s="41" t="s">
        <v>8</v>
      </c>
      <c r="T19" s="48">
        <v>100000</v>
      </c>
      <c r="U19" s="48" t="s">
        <v>10</v>
      </c>
      <c r="V19" s="49">
        <v>5</v>
      </c>
      <c r="W19" s="48"/>
      <c r="X19" s="50">
        <f t="shared" si="8"/>
        <v>1.0849449969795057E-2</v>
      </c>
      <c r="Y19" s="51">
        <f t="shared" si="9"/>
        <v>20959</v>
      </c>
      <c r="Z19" s="96">
        <f t="shared" si="10"/>
        <v>104795</v>
      </c>
      <c r="AA19" s="68">
        <v>0</v>
      </c>
      <c r="AB19" s="75">
        <f>1608900000+487000000</f>
        <v>2095900000</v>
      </c>
    </row>
    <row r="20" spans="1:28" x14ac:dyDescent="0.25">
      <c r="A20" s="40">
        <v>17</v>
      </c>
      <c r="B20" s="40">
        <v>1045</v>
      </c>
      <c r="C20" s="40">
        <v>2025</v>
      </c>
      <c r="D20" s="40">
        <v>12</v>
      </c>
      <c r="E20" s="58" t="s">
        <v>150</v>
      </c>
      <c r="F20" s="41">
        <v>15</v>
      </c>
      <c r="G20" s="42">
        <f t="shared" si="4"/>
        <v>1320472</v>
      </c>
      <c r="H20" s="42">
        <f>SUM($Y$4:Y20)</f>
        <v>1339205</v>
      </c>
      <c r="I20" s="43">
        <f t="shared" si="5"/>
        <v>1321</v>
      </c>
      <c r="J20" s="43">
        <f t="shared" si="6"/>
        <v>1340</v>
      </c>
      <c r="K20" s="44">
        <f t="shared" si="7"/>
        <v>1339.2049999999999</v>
      </c>
      <c r="L20" s="45">
        <f>+J20*1000-SUM($Y$4:Y20)</f>
        <v>795</v>
      </c>
      <c r="M20" s="46" t="s">
        <v>131</v>
      </c>
      <c r="N20" s="40" t="s">
        <v>6</v>
      </c>
      <c r="O20" s="40" t="s">
        <v>7</v>
      </c>
      <c r="P20" s="54">
        <v>332756</v>
      </c>
      <c r="Q20" s="41" t="s">
        <v>8</v>
      </c>
      <c r="R20" s="47">
        <v>18077</v>
      </c>
      <c r="S20" s="41" t="s">
        <v>8</v>
      </c>
      <c r="T20" s="48">
        <v>100000</v>
      </c>
      <c r="U20" s="48" t="s">
        <v>10</v>
      </c>
      <c r="V20" s="49">
        <v>5</v>
      </c>
      <c r="W20" s="48"/>
      <c r="X20" s="50">
        <f t="shared" si="8"/>
        <v>9.6976762123259976E-3</v>
      </c>
      <c r="Y20" s="51">
        <f t="shared" si="9"/>
        <v>18734</v>
      </c>
      <c r="Z20" s="96">
        <f t="shared" si="10"/>
        <v>93670</v>
      </c>
      <c r="AA20" s="68">
        <v>0</v>
      </c>
      <c r="AB20" s="75">
        <f>1765800000+107600000</f>
        <v>1873400000</v>
      </c>
    </row>
    <row r="21" spans="1:28" ht="15.75" customHeight="1" x14ac:dyDescent="0.25">
      <c r="A21" s="40">
        <v>18</v>
      </c>
      <c r="B21" s="40">
        <v>1045</v>
      </c>
      <c r="C21" s="40">
        <v>2025</v>
      </c>
      <c r="D21" s="40">
        <v>12</v>
      </c>
      <c r="E21" s="58" t="s">
        <v>149</v>
      </c>
      <c r="F21" s="41">
        <v>2</v>
      </c>
      <c r="G21" s="42">
        <f t="shared" si="4"/>
        <v>1339206</v>
      </c>
      <c r="H21" s="42">
        <f>SUM($Y$4:Y21)</f>
        <v>1357240</v>
      </c>
      <c r="I21" s="43">
        <f t="shared" si="5"/>
        <v>1340</v>
      </c>
      <c r="J21" s="43">
        <f t="shared" si="6"/>
        <v>1358</v>
      </c>
      <c r="K21" s="44">
        <f t="shared" si="7"/>
        <v>1357.24</v>
      </c>
      <c r="L21" s="45">
        <f>+J21*1000-SUM($Y$4:Y21)</f>
        <v>760</v>
      </c>
      <c r="M21" s="46" t="s">
        <v>25</v>
      </c>
      <c r="N21" s="40" t="s">
        <v>6</v>
      </c>
      <c r="O21" s="40" t="s">
        <v>7</v>
      </c>
      <c r="P21" s="54">
        <v>460627</v>
      </c>
      <c r="Q21" s="41" t="s">
        <v>8</v>
      </c>
      <c r="R21" s="47">
        <v>20582</v>
      </c>
      <c r="S21" s="41" t="s">
        <v>8</v>
      </c>
      <c r="T21" s="48">
        <v>100000</v>
      </c>
      <c r="U21" s="48" t="s">
        <v>10</v>
      </c>
      <c r="V21" s="49">
        <v>5</v>
      </c>
      <c r="W21" s="48"/>
      <c r="X21" s="50">
        <f t="shared" si="8"/>
        <v>9.3358380745862807E-3</v>
      </c>
      <c r="Y21" s="51">
        <f t="shared" si="9"/>
        <v>18035</v>
      </c>
      <c r="Z21" s="96">
        <f t="shared" si="10"/>
        <v>90175</v>
      </c>
      <c r="AA21" s="68">
        <v>0</v>
      </c>
      <c r="AB21" s="75">
        <v>1803500000</v>
      </c>
    </row>
    <row r="22" spans="1:28" x14ac:dyDescent="0.25">
      <c r="A22" s="40">
        <v>19</v>
      </c>
      <c r="B22" s="40">
        <v>1045</v>
      </c>
      <c r="C22" s="40">
        <v>2025</v>
      </c>
      <c r="D22" s="40">
        <v>12</v>
      </c>
      <c r="E22" s="58" t="s">
        <v>185</v>
      </c>
      <c r="F22" s="41">
        <v>2</v>
      </c>
      <c r="G22" s="42">
        <f t="shared" si="4"/>
        <v>1357241</v>
      </c>
      <c r="H22" s="42">
        <f>SUM($Y$4:Y22)</f>
        <v>1374714</v>
      </c>
      <c r="I22" s="43">
        <f t="shared" si="5"/>
        <v>1358</v>
      </c>
      <c r="J22" s="43">
        <f t="shared" si="6"/>
        <v>1375</v>
      </c>
      <c r="K22" s="44">
        <f t="shared" si="7"/>
        <v>1374.7139999999999</v>
      </c>
      <c r="L22" s="45">
        <f>+J22*1000-SUM($Y$4:Y22)</f>
        <v>286</v>
      </c>
      <c r="M22" s="46" t="s">
        <v>187</v>
      </c>
      <c r="N22" s="40" t="s">
        <v>6</v>
      </c>
      <c r="O22" s="40" t="s">
        <v>7</v>
      </c>
      <c r="P22" s="54">
        <v>3617762</v>
      </c>
      <c r="Q22" s="41" t="s">
        <v>8</v>
      </c>
      <c r="R22" s="47">
        <v>30120</v>
      </c>
      <c r="S22" s="41" t="s">
        <v>8</v>
      </c>
      <c r="T22" s="48">
        <v>100000</v>
      </c>
      <c r="U22" s="48" t="s">
        <v>10</v>
      </c>
      <c r="V22" s="49">
        <v>5</v>
      </c>
      <c r="W22" s="48"/>
      <c r="X22" s="50">
        <f t="shared" si="8"/>
        <v>9.0454357923659915E-3</v>
      </c>
      <c r="Y22" s="51">
        <f t="shared" si="9"/>
        <v>17474</v>
      </c>
      <c r="Z22" s="96">
        <f t="shared" si="10"/>
        <v>87370</v>
      </c>
      <c r="AA22" s="68">
        <v>0</v>
      </c>
      <c r="AB22" s="75">
        <f>1639800000+107600000</f>
        <v>1747400000</v>
      </c>
    </row>
    <row r="23" spans="1:28" x14ac:dyDescent="0.25">
      <c r="A23" s="40">
        <v>20</v>
      </c>
      <c r="B23" s="40">
        <v>1045</v>
      </c>
      <c r="C23" s="40">
        <v>2025</v>
      </c>
      <c r="D23" s="40">
        <v>12</v>
      </c>
      <c r="E23" s="59" t="s">
        <v>81</v>
      </c>
      <c r="F23" s="41">
        <v>0</v>
      </c>
      <c r="G23" s="42">
        <f t="shared" si="4"/>
        <v>1374715</v>
      </c>
      <c r="H23" s="42">
        <f>SUM($Y$4:Y23)</f>
        <v>1391649</v>
      </c>
      <c r="I23" s="43">
        <f t="shared" si="5"/>
        <v>1375</v>
      </c>
      <c r="J23" s="43">
        <f t="shared" si="6"/>
        <v>1392</v>
      </c>
      <c r="K23" s="44">
        <f t="shared" si="7"/>
        <v>1391.6489999999999</v>
      </c>
      <c r="L23" s="45">
        <f>+J23*1000-SUM($Y$4:Y23)</f>
        <v>351</v>
      </c>
      <c r="M23" s="46"/>
      <c r="N23" s="40" t="s">
        <v>6</v>
      </c>
      <c r="O23" s="40" t="s">
        <v>7</v>
      </c>
      <c r="P23" s="54">
        <v>1206561</v>
      </c>
      <c r="Q23" s="41" t="s">
        <v>8</v>
      </c>
      <c r="R23" s="47">
        <v>28328</v>
      </c>
      <c r="S23" s="41" t="s">
        <v>8</v>
      </c>
      <c r="T23" s="48">
        <v>100000</v>
      </c>
      <c r="U23" s="48" t="s">
        <v>10</v>
      </c>
      <c r="V23" s="49">
        <v>5</v>
      </c>
      <c r="W23" s="48"/>
      <c r="X23" s="50">
        <f t="shared" si="8"/>
        <v>8.7664218349386563E-3</v>
      </c>
      <c r="Y23" s="51">
        <f t="shared" si="9"/>
        <v>16935</v>
      </c>
      <c r="Z23" s="96">
        <f t="shared" si="10"/>
        <v>84675</v>
      </c>
      <c r="AA23" s="68">
        <v>0</v>
      </c>
      <c r="AB23" s="75">
        <f>1596200000+97300000</f>
        <v>1693500000</v>
      </c>
    </row>
    <row r="24" spans="1:28" x14ac:dyDescent="0.25">
      <c r="A24" s="40">
        <v>21</v>
      </c>
      <c r="B24" s="40">
        <v>1045</v>
      </c>
      <c r="C24" s="40">
        <v>2025</v>
      </c>
      <c r="D24" s="40">
        <v>12</v>
      </c>
      <c r="E24" s="58" t="s">
        <v>183</v>
      </c>
      <c r="F24" s="41">
        <v>8</v>
      </c>
      <c r="G24" s="42">
        <f t="shared" si="4"/>
        <v>1391650</v>
      </c>
      <c r="H24" s="42">
        <f>SUM($Y$4:Y47)</f>
        <v>1604405</v>
      </c>
      <c r="I24" s="43">
        <f>J47</f>
        <v>1605</v>
      </c>
      <c r="J24" s="43">
        <f t="shared" si="6"/>
        <v>1605</v>
      </c>
      <c r="K24" s="44">
        <f t="shared" si="7"/>
        <v>1604.405</v>
      </c>
      <c r="L24" s="45">
        <f>+J24*1000-SUM($Y$4:Y47)</f>
        <v>595</v>
      </c>
      <c r="M24" s="46" t="s">
        <v>213</v>
      </c>
      <c r="N24" s="40" t="s">
        <v>6</v>
      </c>
      <c r="O24" s="40" t="s">
        <v>7</v>
      </c>
      <c r="P24" s="54">
        <v>927343</v>
      </c>
      <c r="Q24" s="41" t="s">
        <v>8</v>
      </c>
      <c r="R24" s="47">
        <v>27255</v>
      </c>
      <c r="S24" s="41" t="s">
        <v>8</v>
      </c>
      <c r="T24" s="48">
        <v>100000</v>
      </c>
      <c r="U24" s="48" t="s">
        <v>10</v>
      </c>
      <c r="V24" s="49">
        <v>5</v>
      </c>
      <c r="W24" s="49"/>
      <c r="X24" s="50">
        <f t="shared" si="8"/>
        <v>8.6944683282922739E-3</v>
      </c>
      <c r="Y24" s="51">
        <f t="shared" si="9"/>
        <v>16796</v>
      </c>
      <c r="Z24" s="96">
        <f t="shared" si="10"/>
        <v>83980</v>
      </c>
      <c r="AA24" s="68">
        <v>0</v>
      </c>
      <c r="AB24" s="75">
        <f>679600000+1000000000</f>
        <v>1679600000</v>
      </c>
    </row>
    <row r="25" spans="1:28" x14ac:dyDescent="0.25">
      <c r="A25" s="40">
        <v>22</v>
      </c>
      <c r="B25" s="40">
        <v>1045</v>
      </c>
      <c r="C25" s="40">
        <v>2025</v>
      </c>
      <c r="D25" s="40">
        <v>12</v>
      </c>
      <c r="E25" s="58" t="s">
        <v>151</v>
      </c>
      <c r="F25" s="41">
        <v>2</v>
      </c>
      <c r="G25" s="42">
        <f t="shared" si="4"/>
        <v>1604406</v>
      </c>
      <c r="H25" s="42">
        <f>SUM($Y$4:Y25)</f>
        <v>1424864</v>
      </c>
      <c r="I25" s="43">
        <f t="shared" ref="I25:I32" si="11">J24</f>
        <v>1605</v>
      </c>
      <c r="J25" s="43">
        <f t="shared" si="6"/>
        <v>1425</v>
      </c>
      <c r="K25" s="44">
        <f t="shared" si="7"/>
        <v>1424.864</v>
      </c>
      <c r="L25" s="45">
        <f>+J25*1000-SUM($Y$4:Y25)</f>
        <v>136</v>
      </c>
      <c r="M25" s="95" t="s">
        <v>215</v>
      </c>
      <c r="N25" s="40" t="s">
        <v>6</v>
      </c>
      <c r="O25" s="40" t="s">
        <v>7</v>
      </c>
      <c r="P25" s="54">
        <v>281312</v>
      </c>
      <c r="Q25" s="41" t="s">
        <v>8</v>
      </c>
      <c r="R25" s="47">
        <v>16950</v>
      </c>
      <c r="S25" s="41" t="s">
        <v>8</v>
      </c>
      <c r="T25" s="48">
        <v>100000</v>
      </c>
      <c r="U25" s="48" t="s">
        <v>10</v>
      </c>
      <c r="V25" s="49">
        <v>5</v>
      </c>
      <c r="W25" s="48"/>
      <c r="X25" s="50">
        <f t="shared" si="8"/>
        <v>8.4993138534312247E-3</v>
      </c>
      <c r="Y25" s="51">
        <f t="shared" si="9"/>
        <v>16419</v>
      </c>
      <c r="Z25" s="96">
        <f t="shared" si="10"/>
        <v>82095</v>
      </c>
      <c r="AA25" s="68">
        <v>0</v>
      </c>
      <c r="AB25" s="75">
        <f>1547600000+94300000</f>
        <v>1641900000</v>
      </c>
    </row>
    <row r="26" spans="1:28" x14ac:dyDescent="0.25">
      <c r="A26" s="40">
        <v>23</v>
      </c>
      <c r="B26" s="40">
        <v>1045</v>
      </c>
      <c r="C26" s="40">
        <v>2025</v>
      </c>
      <c r="D26" s="40">
        <v>12</v>
      </c>
      <c r="E26" s="58" t="s">
        <v>152</v>
      </c>
      <c r="F26" s="41">
        <v>0</v>
      </c>
      <c r="G26" s="42">
        <f t="shared" si="4"/>
        <v>1424865</v>
      </c>
      <c r="H26" s="42">
        <f>SUM($Y$4:Y26)</f>
        <v>1441116</v>
      </c>
      <c r="I26" s="43">
        <f t="shared" si="11"/>
        <v>1425</v>
      </c>
      <c r="J26" s="43">
        <f t="shared" si="6"/>
        <v>1442</v>
      </c>
      <c r="K26" s="44">
        <f t="shared" si="7"/>
        <v>1441.116</v>
      </c>
      <c r="L26" s="45">
        <f>+J26*1000-SUM($Y$4:Y26)</f>
        <v>884</v>
      </c>
      <c r="M26" s="46"/>
      <c r="N26" s="40" t="s">
        <v>6</v>
      </c>
      <c r="O26" s="40" t="s">
        <v>7</v>
      </c>
      <c r="P26" s="54">
        <v>1238373</v>
      </c>
      <c r="Q26" s="41" t="s">
        <v>8</v>
      </c>
      <c r="R26" s="47">
        <v>25693</v>
      </c>
      <c r="S26" s="41" t="s">
        <v>8</v>
      </c>
      <c r="T26" s="48">
        <v>100000</v>
      </c>
      <c r="U26" s="48" t="s">
        <v>10</v>
      </c>
      <c r="V26" s="49">
        <v>5</v>
      </c>
      <c r="W26" s="48"/>
      <c r="X26" s="50">
        <f t="shared" si="8"/>
        <v>8.4128661152301758E-3</v>
      </c>
      <c r="Y26" s="51">
        <f t="shared" si="9"/>
        <v>16252</v>
      </c>
      <c r="Z26" s="96">
        <f t="shared" si="10"/>
        <v>81260</v>
      </c>
      <c r="AA26" s="68">
        <v>0</v>
      </c>
      <c r="AB26" s="75">
        <f>1475200000+150000000</f>
        <v>1625200000</v>
      </c>
    </row>
    <row r="27" spans="1:28" x14ac:dyDescent="0.25">
      <c r="A27" s="40">
        <v>24</v>
      </c>
      <c r="B27" s="40">
        <v>1045</v>
      </c>
      <c r="C27" s="40">
        <v>2025</v>
      </c>
      <c r="D27" s="40">
        <v>12</v>
      </c>
      <c r="E27" s="59" t="s">
        <v>94</v>
      </c>
      <c r="F27" s="41">
        <v>2</v>
      </c>
      <c r="G27" s="42">
        <f t="shared" si="4"/>
        <v>1441117</v>
      </c>
      <c r="H27" s="42">
        <f>SUM($Y$4:Y27)</f>
        <v>1454761</v>
      </c>
      <c r="I27" s="43">
        <f t="shared" si="11"/>
        <v>1442</v>
      </c>
      <c r="J27" s="43">
        <f t="shared" si="6"/>
        <v>1455</v>
      </c>
      <c r="K27" s="44">
        <f t="shared" si="7"/>
        <v>1454.761</v>
      </c>
      <c r="L27" s="45">
        <f>+J27*1000-SUM($Y$4:Y27)</f>
        <v>239</v>
      </c>
      <c r="M27" s="95" t="s">
        <v>216</v>
      </c>
      <c r="N27" s="40" t="s">
        <v>6</v>
      </c>
      <c r="O27" s="40" t="s">
        <v>7</v>
      </c>
      <c r="P27" s="54">
        <v>1240189</v>
      </c>
      <c r="Q27" s="41" t="s">
        <v>8</v>
      </c>
      <c r="R27" s="47">
        <v>25688</v>
      </c>
      <c r="S27" s="41" t="s">
        <v>8</v>
      </c>
      <c r="T27" s="48">
        <v>100000</v>
      </c>
      <c r="U27" s="48" t="s">
        <v>10</v>
      </c>
      <c r="V27" s="49">
        <v>5</v>
      </c>
      <c r="W27" s="48"/>
      <c r="X27" s="50">
        <f t="shared" si="8"/>
        <v>7.0633496272653057E-3</v>
      </c>
      <c r="Y27" s="51">
        <f t="shared" si="9"/>
        <v>13645</v>
      </c>
      <c r="Z27" s="96">
        <f t="shared" si="10"/>
        <v>68225</v>
      </c>
      <c r="AA27" s="68">
        <v>0</v>
      </c>
      <c r="AB27" s="75">
        <f>1286100000+78400000</f>
        <v>1364500000</v>
      </c>
    </row>
    <row r="28" spans="1:28" x14ac:dyDescent="0.25">
      <c r="A28" s="40">
        <v>25</v>
      </c>
      <c r="B28" s="40">
        <v>1045</v>
      </c>
      <c r="C28" s="40">
        <v>2025</v>
      </c>
      <c r="D28" s="40">
        <v>12</v>
      </c>
      <c r="E28" s="58" t="s">
        <v>146</v>
      </c>
      <c r="F28" s="41">
        <v>15</v>
      </c>
      <c r="G28" s="42">
        <f t="shared" si="4"/>
        <v>1454762</v>
      </c>
      <c r="H28" s="42">
        <f>SUM($Y$4:Y28)</f>
        <v>1466669</v>
      </c>
      <c r="I28" s="43">
        <f t="shared" si="11"/>
        <v>1455</v>
      </c>
      <c r="J28" s="43">
        <f t="shared" si="6"/>
        <v>1467</v>
      </c>
      <c r="K28" s="44">
        <f t="shared" si="7"/>
        <v>1466.6690000000001</v>
      </c>
      <c r="L28" s="45">
        <f>+J28*1000-SUM($Y$4:Y28)</f>
        <v>331</v>
      </c>
      <c r="M28" s="46" t="s">
        <v>188</v>
      </c>
      <c r="N28" s="40" t="s">
        <v>6</v>
      </c>
      <c r="O28" s="40" t="s">
        <v>7</v>
      </c>
      <c r="P28" s="54">
        <v>474506</v>
      </c>
      <c r="Q28" s="41" t="s">
        <v>8</v>
      </c>
      <c r="R28" s="47">
        <v>21948</v>
      </c>
      <c r="S28" s="41" t="s">
        <v>8</v>
      </c>
      <c r="T28" s="48">
        <v>100000</v>
      </c>
      <c r="U28" s="48" t="s">
        <v>10</v>
      </c>
      <c r="V28" s="49">
        <v>5</v>
      </c>
      <c r="W28" s="48"/>
      <c r="X28" s="50">
        <f t="shared" si="8"/>
        <v>6.1641896197490113E-3</v>
      </c>
      <c r="Y28" s="51">
        <f t="shared" si="9"/>
        <v>11908</v>
      </c>
      <c r="Z28" s="96">
        <f t="shared" si="10"/>
        <v>59540</v>
      </c>
      <c r="AA28" s="68">
        <v>0</v>
      </c>
      <c r="AB28" s="75">
        <f>1122400000+68400000</f>
        <v>1190800000</v>
      </c>
    </row>
    <row r="29" spans="1:28" x14ac:dyDescent="0.25">
      <c r="A29" s="40">
        <v>26</v>
      </c>
      <c r="B29" s="40">
        <v>1045</v>
      </c>
      <c r="C29" s="40">
        <v>2025</v>
      </c>
      <c r="D29" s="40">
        <v>12</v>
      </c>
      <c r="E29" s="58" t="s">
        <v>154</v>
      </c>
      <c r="F29" s="41">
        <v>15</v>
      </c>
      <c r="G29" s="42">
        <f t="shared" si="4"/>
        <v>1466670</v>
      </c>
      <c r="H29" s="42">
        <f>SUM($Y$4:Y29)</f>
        <v>1477893</v>
      </c>
      <c r="I29" s="43">
        <f t="shared" si="11"/>
        <v>1467</v>
      </c>
      <c r="J29" s="43">
        <f t="shared" si="6"/>
        <v>1478</v>
      </c>
      <c r="K29" s="44">
        <f t="shared" si="7"/>
        <v>1477.893</v>
      </c>
      <c r="L29" s="45">
        <f>+J29*1000-SUM($Y$4:Y29)</f>
        <v>107</v>
      </c>
      <c r="M29" s="46" t="s">
        <v>189</v>
      </c>
      <c r="N29" s="40" t="s">
        <v>6</v>
      </c>
      <c r="O29" s="40" t="s">
        <v>7</v>
      </c>
      <c r="P29" s="54">
        <v>474508</v>
      </c>
      <c r="Q29" s="41" t="s">
        <v>8</v>
      </c>
      <c r="R29" s="47">
        <v>22795</v>
      </c>
      <c r="S29" s="41" t="s">
        <v>8</v>
      </c>
      <c r="T29" s="48">
        <v>100000</v>
      </c>
      <c r="U29" s="48" t="s">
        <v>10</v>
      </c>
      <c r="V29" s="49">
        <v>5</v>
      </c>
      <c r="W29" s="48"/>
      <c r="X29" s="50">
        <f t="shared" si="8"/>
        <v>5.8101162489135796E-3</v>
      </c>
      <c r="Y29" s="51">
        <f t="shared" si="9"/>
        <v>11224</v>
      </c>
      <c r="Z29" s="96">
        <f t="shared" si="10"/>
        <v>56120</v>
      </c>
      <c r="AA29" s="68">
        <v>0</v>
      </c>
      <c r="AB29" s="75">
        <v>1122400000</v>
      </c>
    </row>
    <row r="30" spans="1:28" x14ac:dyDescent="0.25">
      <c r="A30" s="40">
        <v>27</v>
      </c>
      <c r="B30" s="40">
        <v>1045</v>
      </c>
      <c r="C30" s="40">
        <v>2025</v>
      </c>
      <c r="D30" s="40">
        <v>12</v>
      </c>
      <c r="E30" s="58" t="s">
        <v>186</v>
      </c>
      <c r="F30" s="41">
        <v>0</v>
      </c>
      <c r="G30" s="42">
        <f t="shared" si="4"/>
        <v>1477894</v>
      </c>
      <c r="H30" s="42">
        <f>SUM($Y$4:Y30)</f>
        <v>1487411</v>
      </c>
      <c r="I30" s="43">
        <f t="shared" si="11"/>
        <v>1478</v>
      </c>
      <c r="J30" s="43">
        <f t="shared" si="6"/>
        <v>1488</v>
      </c>
      <c r="K30" s="44">
        <f t="shared" si="7"/>
        <v>1487.4110000000001</v>
      </c>
      <c r="L30" s="45">
        <f>+J30*1000-SUM($Y$4:Y30)</f>
        <v>589</v>
      </c>
      <c r="M30" s="46"/>
      <c r="N30" s="40" t="s">
        <v>6</v>
      </c>
      <c r="O30" s="40" t="s">
        <v>7</v>
      </c>
      <c r="P30" s="54">
        <v>158907</v>
      </c>
      <c r="Q30" s="41" t="s">
        <v>8</v>
      </c>
      <c r="R30" s="47">
        <v>14129</v>
      </c>
      <c r="S30" s="41" t="s">
        <v>8</v>
      </c>
      <c r="T30" s="48">
        <v>100000</v>
      </c>
      <c r="U30" s="48" t="s">
        <v>10</v>
      </c>
      <c r="V30" s="49">
        <v>5</v>
      </c>
      <c r="W30" s="48"/>
      <c r="X30" s="50">
        <f t="shared" si="8"/>
        <v>4.9270034263328094E-3</v>
      </c>
      <c r="Y30" s="51">
        <f t="shared" si="9"/>
        <v>9518</v>
      </c>
      <c r="Z30" s="96">
        <f t="shared" si="10"/>
        <v>47590</v>
      </c>
      <c r="AA30" s="68">
        <v>0</v>
      </c>
      <c r="AB30" s="75">
        <v>951800000</v>
      </c>
    </row>
    <row r="31" spans="1:28" x14ac:dyDescent="0.25">
      <c r="A31" s="40">
        <v>28</v>
      </c>
      <c r="B31" s="40">
        <v>1045</v>
      </c>
      <c r="C31" s="40">
        <v>2025</v>
      </c>
      <c r="D31" s="40">
        <v>12</v>
      </c>
      <c r="E31" s="58" t="s">
        <v>203</v>
      </c>
      <c r="F31" s="41">
        <v>16</v>
      </c>
      <c r="G31" s="42">
        <f t="shared" si="4"/>
        <v>1487412</v>
      </c>
      <c r="H31" s="42">
        <f>SUM($Y$4:Y31)</f>
        <v>1496758</v>
      </c>
      <c r="I31" s="43">
        <f t="shared" si="11"/>
        <v>1488</v>
      </c>
      <c r="J31" s="43">
        <f t="shared" si="6"/>
        <v>1497</v>
      </c>
      <c r="K31" s="44">
        <f t="shared" si="7"/>
        <v>1496.758</v>
      </c>
      <c r="L31" s="45"/>
      <c r="M31" s="46" t="s">
        <v>211</v>
      </c>
      <c r="N31" s="40" t="s">
        <v>6</v>
      </c>
      <c r="O31" s="40" t="s">
        <v>7</v>
      </c>
      <c r="P31" s="54">
        <v>1362181</v>
      </c>
      <c r="Q31" s="41" t="s">
        <v>8</v>
      </c>
      <c r="R31" s="47">
        <v>28275</v>
      </c>
      <c r="S31" s="41" t="s">
        <v>8</v>
      </c>
      <c r="T31" s="48">
        <v>100000</v>
      </c>
      <c r="U31" s="48" t="s">
        <v>10</v>
      </c>
      <c r="V31" s="49">
        <v>5</v>
      </c>
      <c r="W31" s="48"/>
      <c r="X31" s="50">
        <f t="shared" si="8"/>
        <v>4.8384850836239515E-3</v>
      </c>
      <c r="Y31" s="51">
        <f t="shared" si="9"/>
        <v>9347</v>
      </c>
      <c r="Z31" s="96">
        <f t="shared" si="10"/>
        <v>46735</v>
      </c>
      <c r="AA31" s="68">
        <v>0</v>
      </c>
      <c r="AB31" s="75">
        <f>881000000+53700000</f>
        <v>934700000</v>
      </c>
    </row>
    <row r="32" spans="1:28" x14ac:dyDescent="0.25">
      <c r="A32" s="40">
        <v>29</v>
      </c>
      <c r="B32" s="40">
        <v>1045</v>
      </c>
      <c r="C32" s="40">
        <v>2025</v>
      </c>
      <c r="D32" s="40">
        <v>12</v>
      </c>
      <c r="E32" s="59" t="s">
        <v>85</v>
      </c>
      <c r="F32" s="41">
        <v>1</v>
      </c>
      <c r="G32" s="42">
        <f t="shared" si="4"/>
        <v>1496759</v>
      </c>
      <c r="H32" s="42">
        <f>SUM($Y$4:Y32)</f>
        <v>1505352</v>
      </c>
      <c r="I32" s="43">
        <f t="shared" si="11"/>
        <v>1497</v>
      </c>
      <c r="J32" s="43">
        <f t="shared" si="6"/>
        <v>1506</v>
      </c>
      <c r="K32" s="44">
        <f t="shared" si="7"/>
        <v>1505.3520000000001</v>
      </c>
      <c r="L32" s="45">
        <f>+J32*1000-SUM($Y$4:Y32)</f>
        <v>648</v>
      </c>
      <c r="M32" s="46" t="s">
        <v>12</v>
      </c>
      <c r="N32" s="40" t="s">
        <v>6</v>
      </c>
      <c r="O32" s="40" t="s">
        <v>7</v>
      </c>
      <c r="P32" s="54">
        <v>320576</v>
      </c>
      <c r="Q32" s="41" t="s">
        <v>8</v>
      </c>
      <c r="R32" s="47">
        <v>21264</v>
      </c>
      <c r="S32" s="41" t="s">
        <v>8</v>
      </c>
      <c r="T32" s="48">
        <v>100000</v>
      </c>
      <c r="U32" s="48" t="s">
        <v>10</v>
      </c>
      <c r="V32" s="49">
        <v>5</v>
      </c>
      <c r="W32" s="48"/>
      <c r="X32" s="50">
        <f t="shared" si="8"/>
        <v>4.4486937850288051E-3</v>
      </c>
      <c r="Y32" s="51">
        <f t="shared" si="9"/>
        <v>8594</v>
      </c>
      <c r="Z32" s="96">
        <f t="shared" si="10"/>
        <v>42970</v>
      </c>
      <c r="AA32" s="68">
        <v>0</v>
      </c>
      <c r="AB32" s="75">
        <f>766000000+46700000+46700000</f>
        <v>859400000</v>
      </c>
    </row>
    <row r="33" spans="1:28" x14ac:dyDescent="0.25">
      <c r="A33" s="40">
        <v>30</v>
      </c>
      <c r="B33" s="40">
        <v>1045</v>
      </c>
      <c r="C33" s="40">
        <v>2025</v>
      </c>
      <c r="D33" s="40">
        <v>12</v>
      </c>
      <c r="E33" s="58" t="s">
        <v>155</v>
      </c>
      <c r="F33" s="41">
        <v>5</v>
      </c>
      <c r="G33" s="42">
        <f t="shared" si="4"/>
        <v>1505353</v>
      </c>
      <c r="H33" s="42">
        <f>SUM($Y$4:Y33)</f>
        <v>1513895</v>
      </c>
      <c r="I33" s="43">
        <f>J30</f>
        <v>1488</v>
      </c>
      <c r="J33" s="43">
        <f t="shared" si="6"/>
        <v>1514</v>
      </c>
      <c r="K33" s="44">
        <f t="shared" si="7"/>
        <v>1513.895</v>
      </c>
      <c r="L33" s="45">
        <f>+J33*1000-SUM($Y$4:Y33)</f>
        <v>105</v>
      </c>
      <c r="M33" s="46" t="s">
        <v>212</v>
      </c>
      <c r="N33" s="40" t="s">
        <v>6</v>
      </c>
      <c r="O33" s="40" t="s">
        <v>7</v>
      </c>
      <c r="P33" s="54">
        <v>194006</v>
      </c>
      <c r="Q33" s="41" t="s">
        <v>8</v>
      </c>
      <c r="R33" s="47">
        <v>14782</v>
      </c>
      <c r="S33" s="41" t="s">
        <v>8</v>
      </c>
      <c r="T33" s="48">
        <v>100000</v>
      </c>
      <c r="U33" s="48" t="s">
        <v>10</v>
      </c>
      <c r="V33" s="49">
        <v>5</v>
      </c>
      <c r="W33" s="48"/>
      <c r="X33" s="50">
        <f t="shared" si="8"/>
        <v>4.4222935775542326E-3</v>
      </c>
      <c r="Y33" s="51">
        <f t="shared" si="9"/>
        <v>8543</v>
      </c>
      <c r="Z33" s="96">
        <f t="shared" si="10"/>
        <v>42715</v>
      </c>
      <c r="AA33" s="68">
        <v>0</v>
      </c>
      <c r="AB33" s="75">
        <v>854300000</v>
      </c>
    </row>
    <row r="34" spans="1:28" x14ac:dyDescent="0.25">
      <c r="A34" s="40">
        <v>31</v>
      </c>
      <c r="B34" s="40">
        <v>1045</v>
      </c>
      <c r="C34" s="40">
        <v>2025</v>
      </c>
      <c r="D34" s="40">
        <v>12</v>
      </c>
      <c r="E34" s="58" t="s">
        <v>156</v>
      </c>
      <c r="F34" s="41">
        <v>0</v>
      </c>
      <c r="G34" s="42">
        <f t="shared" si="4"/>
        <v>1513896</v>
      </c>
      <c r="H34" s="42">
        <f>SUM($Y$4:Y34)</f>
        <v>1522364</v>
      </c>
      <c r="I34" s="43">
        <f t="shared" ref="I34:I41" si="12">J33</f>
        <v>1514</v>
      </c>
      <c r="J34" s="43">
        <f t="shared" si="6"/>
        <v>1523</v>
      </c>
      <c r="K34" s="44">
        <f t="shared" si="7"/>
        <v>1522.364</v>
      </c>
      <c r="L34" s="45">
        <f>+J34*1000-SUM($Y$4:Y34)</f>
        <v>636</v>
      </c>
      <c r="M34" s="46"/>
      <c r="N34" s="40" t="s">
        <v>6</v>
      </c>
      <c r="O34" s="40" t="s">
        <v>7</v>
      </c>
      <c r="P34" s="54">
        <v>294175</v>
      </c>
      <c r="Q34" s="41" t="s">
        <v>8</v>
      </c>
      <c r="R34" s="47">
        <v>18230</v>
      </c>
      <c r="S34" s="41" t="s">
        <v>8</v>
      </c>
      <c r="T34" s="48">
        <v>100000</v>
      </c>
      <c r="U34" s="48" t="s">
        <v>10</v>
      </c>
      <c r="V34" s="49">
        <v>5</v>
      </c>
      <c r="W34" s="48"/>
      <c r="X34" s="50">
        <f t="shared" si="8"/>
        <v>4.3839873941597567E-3</v>
      </c>
      <c r="Y34" s="51">
        <f t="shared" si="9"/>
        <v>8469</v>
      </c>
      <c r="Z34" s="96">
        <f t="shared" si="10"/>
        <v>42345</v>
      </c>
      <c r="AA34" s="68">
        <v>0</v>
      </c>
      <c r="AB34" s="75">
        <f>798300000+48600000</f>
        <v>846900000</v>
      </c>
    </row>
    <row r="35" spans="1:28" x14ac:dyDescent="0.25">
      <c r="A35" s="40">
        <v>32</v>
      </c>
      <c r="B35" s="40">
        <v>1045</v>
      </c>
      <c r="C35" s="40">
        <v>2025</v>
      </c>
      <c r="D35" s="40">
        <v>12</v>
      </c>
      <c r="E35" s="59" t="s">
        <v>83</v>
      </c>
      <c r="F35" s="41">
        <v>1</v>
      </c>
      <c r="G35" s="42">
        <f t="shared" si="4"/>
        <v>1522365</v>
      </c>
      <c r="H35" s="42">
        <f>SUM($Y$4:Y35)</f>
        <v>1530491</v>
      </c>
      <c r="I35" s="43">
        <f t="shared" si="12"/>
        <v>1523</v>
      </c>
      <c r="J35" s="43">
        <f t="shared" si="6"/>
        <v>1531</v>
      </c>
      <c r="K35" s="44">
        <f t="shared" si="7"/>
        <v>1530.491</v>
      </c>
      <c r="L35" s="45">
        <f>+J35*1000-SUM($Y$4:Y35)</f>
        <v>509</v>
      </c>
      <c r="M35" s="46" t="s">
        <v>14</v>
      </c>
      <c r="N35" s="40" t="s">
        <v>6</v>
      </c>
      <c r="O35" s="40" t="s">
        <v>7</v>
      </c>
      <c r="P35" s="54">
        <v>593546</v>
      </c>
      <c r="Q35" s="41" t="s">
        <v>8</v>
      </c>
      <c r="R35" s="47">
        <v>23088</v>
      </c>
      <c r="S35" s="41" t="s">
        <v>8</v>
      </c>
      <c r="T35" s="48">
        <v>100000</v>
      </c>
      <c r="U35" s="48" t="s">
        <v>10</v>
      </c>
      <c r="V35" s="49">
        <v>5</v>
      </c>
      <c r="W35" s="48"/>
      <c r="X35" s="50">
        <f t="shared" si="8"/>
        <v>4.2069507087420408E-3</v>
      </c>
      <c r="Y35" s="51">
        <f t="shared" si="9"/>
        <v>8127</v>
      </c>
      <c r="Z35" s="96">
        <f t="shared" si="10"/>
        <v>40635</v>
      </c>
      <c r="AA35" s="68">
        <v>0</v>
      </c>
      <c r="AB35" s="75">
        <f>766000000+46700000</f>
        <v>812700000</v>
      </c>
    </row>
    <row r="36" spans="1:28" x14ac:dyDescent="0.25">
      <c r="A36" s="40">
        <v>33</v>
      </c>
      <c r="B36" s="40">
        <v>1045</v>
      </c>
      <c r="C36" s="40">
        <v>2025</v>
      </c>
      <c r="D36" s="40">
        <v>12</v>
      </c>
      <c r="E36" s="59" t="s">
        <v>84</v>
      </c>
      <c r="F36" s="41">
        <v>1</v>
      </c>
      <c r="G36" s="42">
        <f t="shared" si="4"/>
        <v>1530492</v>
      </c>
      <c r="H36" s="42">
        <f>SUM($Y$4:Y36)</f>
        <v>1538618</v>
      </c>
      <c r="I36" s="43">
        <f t="shared" si="12"/>
        <v>1531</v>
      </c>
      <c r="J36" s="43">
        <f t="shared" si="6"/>
        <v>1539</v>
      </c>
      <c r="K36" s="44">
        <f t="shared" si="7"/>
        <v>1538.6179999999999</v>
      </c>
      <c r="L36" s="45">
        <f>+J36*1000-SUM($Y$4:Y36)</f>
        <v>382</v>
      </c>
      <c r="M36" s="46" t="s">
        <v>110</v>
      </c>
      <c r="N36" s="40" t="s">
        <v>6</v>
      </c>
      <c r="O36" s="40" t="s">
        <v>7</v>
      </c>
      <c r="P36" s="54">
        <v>514898</v>
      </c>
      <c r="Q36" s="41" t="s">
        <v>8</v>
      </c>
      <c r="R36" s="47">
        <v>21751</v>
      </c>
      <c r="S36" s="41" t="s">
        <v>8</v>
      </c>
      <c r="T36" s="48">
        <v>100000</v>
      </c>
      <c r="U36" s="48" t="s">
        <v>10</v>
      </c>
      <c r="V36" s="49">
        <v>5</v>
      </c>
      <c r="W36" s="48"/>
      <c r="X36" s="50">
        <f t="shared" si="8"/>
        <v>4.2069507087420408E-3</v>
      </c>
      <c r="Y36" s="51">
        <f t="shared" si="9"/>
        <v>8127</v>
      </c>
      <c r="Z36" s="96">
        <f t="shared" si="10"/>
        <v>40635</v>
      </c>
      <c r="AA36" s="68">
        <v>0</v>
      </c>
      <c r="AB36" s="75">
        <f>766000000+46700000</f>
        <v>812700000</v>
      </c>
    </row>
    <row r="37" spans="1:28" x14ac:dyDescent="0.25">
      <c r="A37" s="40">
        <v>34</v>
      </c>
      <c r="B37" s="40">
        <v>1045</v>
      </c>
      <c r="C37" s="40">
        <v>2025</v>
      </c>
      <c r="D37" s="40">
        <v>12</v>
      </c>
      <c r="E37" s="58" t="s">
        <v>153</v>
      </c>
      <c r="F37" s="41">
        <v>13</v>
      </c>
      <c r="G37" s="42">
        <f t="shared" ref="G37:G68" si="13">H36+$G$4</f>
        <v>1538619</v>
      </c>
      <c r="H37" s="42">
        <f>SUM($Y$4:Y37)</f>
        <v>1546278</v>
      </c>
      <c r="I37" s="43">
        <f t="shared" si="12"/>
        <v>1539</v>
      </c>
      <c r="J37" s="43">
        <f t="shared" ref="J37:J68" si="14">ROUNDUP(K37,0)</f>
        <v>1547</v>
      </c>
      <c r="K37" s="44">
        <f t="shared" ref="K37:K68" si="15">+H37/1000</f>
        <v>1546.278</v>
      </c>
      <c r="L37" s="45">
        <f>+J37*1000-SUM($Y$4:Y37)</f>
        <v>722</v>
      </c>
      <c r="M37" s="46" t="s">
        <v>114</v>
      </c>
      <c r="N37" s="40" t="s">
        <v>6</v>
      </c>
      <c r="O37" s="40" t="s">
        <v>7</v>
      </c>
      <c r="P37" s="54">
        <v>528887</v>
      </c>
      <c r="Q37" s="41" t="s">
        <v>8</v>
      </c>
      <c r="R37" s="47">
        <v>22837</v>
      </c>
      <c r="S37" s="41" t="s">
        <v>8</v>
      </c>
      <c r="T37" s="48">
        <v>100000</v>
      </c>
      <c r="U37" s="48" t="s">
        <v>10</v>
      </c>
      <c r="V37" s="49">
        <v>5</v>
      </c>
      <c r="W37" s="50"/>
      <c r="X37" s="50">
        <f t="shared" ref="X37:X68" si="16">AB37/$AB$3</f>
        <v>3.9652076324552766E-3</v>
      </c>
      <c r="Y37" s="51">
        <f t="shared" ref="Y37:Y68" si="17">AB37/100000</f>
        <v>7660</v>
      </c>
      <c r="Z37" s="96">
        <f t="shared" ref="Z37:Z68" si="18">Y37*5</f>
        <v>38300</v>
      </c>
      <c r="AA37" s="68">
        <v>0</v>
      </c>
      <c r="AB37" s="75">
        <v>766000000</v>
      </c>
    </row>
    <row r="38" spans="1:28" x14ac:dyDescent="0.25">
      <c r="A38" s="40">
        <v>35</v>
      </c>
      <c r="B38" s="40">
        <v>1045</v>
      </c>
      <c r="C38" s="40">
        <v>2025</v>
      </c>
      <c r="D38" s="40">
        <v>12</v>
      </c>
      <c r="E38" s="58" t="s">
        <v>204</v>
      </c>
      <c r="F38" s="41">
        <v>0</v>
      </c>
      <c r="G38" s="42">
        <f t="shared" si="13"/>
        <v>1546279</v>
      </c>
      <c r="H38" s="42">
        <f>SUM($Y$4:Y38)</f>
        <v>1553171</v>
      </c>
      <c r="I38" s="43">
        <f t="shared" si="12"/>
        <v>1547</v>
      </c>
      <c r="J38" s="43">
        <f t="shared" si="14"/>
        <v>1554</v>
      </c>
      <c r="K38" s="44">
        <f t="shared" si="15"/>
        <v>1553.171</v>
      </c>
      <c r="L38" s="45">
        <f>+J38*1000-SUM($Y$4:Y38)</f>
        <v>829</v>
      </c>
      <c r="M38" s="46"/>
      <c r="N38" s="40" t="s">
        <v>6</v>
      </c>
      <c r="O38" s="40" t="s">
        <v>7</v>
      </c>
      <c r="P38" s="54">
        <v>234615</v>
      </c>
      <c r="Q38" s="41" t="s">
        <v>8</v>
      </c>
      <c r="R38" s="47">
        <v>16137</v>
      </c>
      <c r="S38" s="41" t="s">
        <v>8</v>
      </c>
      <c r="T38" s="48">
        <v>100000</v>
      </c>
      <c r="U38" s="48" t="s">
        <v>10</v>
      </c>
      <c r="V38" s="49">
        <v>5</v>
      </c>
      <c r="W38" s="48"/>
      <c r="X38" s="50">
        <f t="shared" si="16"/>
        <v>3.5681692180827961E-3</v>
      </c>
      <c r="Y38" s="51">
        <f t="shared" si="17"/>
        <v>6893</v>
      </c>
      <c r="Z38" s="96">
        <f t="shared" si="18"/>
        <v>34465</v>
      </c>
      <c r="AA38" s="68">
        <v>0</v>
      </c>
      <c r="AB38" s="75">
        <f>649700000+39600000</f>
        <v>689300000</v>
      </c>
    </row>
    <row r="39" spans="1:28" x14ac:dyDescent="0.25">
      <c r="A39" s="40">
        <v>36</v>
      </c>
      <c r="B39" s="40">
        <v>1045</v>
      </c>
      <c r="C39" s="40">
        <v>2025</v>
      </c>
      <c r="D39" s="40">
        <v>12</v>
      </c>
      <c r="E39" s="59" t="s">
        <v>86</v>
      </c>
      <c r="F39" s="41">
        <v>1</v>
      </c>
      <c r="G39" s="42">
        <f t="shared" si="13"/>
        <v>1553172</v>
      </c>
      <c r="H39" s="42">
        <f>SUM($Y$4:Y39)</f>
        <v>1560004</v>
      </c>
      <c r="I39" s="43">
        <f t="shared" si="12"/>
        <v>1554</v>
      </c>
      <c r="J39" s="43">
        <f t="shared" si="14"/>
        <v>1561</v>
      </c>
      <c r="K39" s="44">
        <f t="shared" si="15"/>
        <v>1560.0039999999999</v>
      </c>
      <c r="L39" s="45">
        <f>+J39*1000-SUM($Y$4:Y39)</f>
        <v>996</v>
      </c>
      <c r="M39" s="46" t="s">
        <v>13</v>
      </c>
      <c r="N39" s="40" t="s">
        <v>6</v>
      </c>
      <c r="O39" s="40" t="s">
        <v>7</v>
      </c>
      <c r="P39" s="54">
        <v>411812</v>
      </c>
      <c r="Q39" s="41" t="s">
        <v>8</v>
      </c>
      <c r="R39" s="47">
        <v>20383</v>
      </c>
      <c r="S39" s="41" t="s">
        <v>8</v>
      </c>
      <c r="T39" s="48">
        <v>100000</v>
      </c>
      <c r="U39" s="48" t="s">
        <v>10</v>
      </c>
      <c r="V39" s="49">
        <v>5</v>
      </c>
      <c r="W39" s="48"/>
      <c r="X39" s="50">
        <f t="shared" si="16"/>
        <v>3.537110150465653E-3</v>
      </c>
      <c r="Y39" s="51">
        <f t="shared" si="17"/>
        <v>6833</v>
      </c>
      <c r="Z39" s="96">
        <f t="shared" si="18"/>
        <v>34165</v>
      </c>
      <c r="AA39" s="68">
        <v>0</v>
      </c>
      <c r="AB39" s="75">
        <f>683300000</f>
        <v>683300000</v>
      </c>
    </row>
    <row r="40" spans="1:28" x14ac:dyDescent="0.25">
      <c r="A40" s="40">
        <v>37</v>
      </c>
      <c r="B40" s="40">
        <v>1045</v>
      </c>
      <c r="C40" s="40">
        <v>2025</v>
      </c>
      <c r="D40" s="40">
        <v>12</v>
      </c>
      <c r="E40" s="59" t="s">
        <v>130</v>
      </c>
      <c r="F40" s="41">
        <v>1</v>
      </c>
      <c r="G40" s="42">
        <f t="shared" si="13"/>
        <v>1560005</v>
      </c>
      <c r="H40" s="42">
        <f>SUM($Y$4:Y40)</f>
        <v>1566709</v>
      </c>
      <c r="I40" s="43">
        <f t="shared" si="12"/>
        <v>1561</v>
      </c>
      <c r="J40" s="43">
        <f t="shared" si="14"/>
        <v>1567</v>
      </c>
      <c r="K40" s="44">
        <f t="shared" si="15"/>
        <v>1566.7090000000001</v>
      </c>
      <c r="L40" s="45">
        <f>+J40*1000-SUM($Y$4:Y40)</f>
        <v>291</v>
      </c>
      <c r="M40" s="46" t="s">
        <v>15</v>
      </c>
      <c r="N40" s="40" t="s">
        <v>6</v>
      </c>
      <c r="O40" s="40" t="s">
        <v>7</v>
      </c>
      <c r="P40" s="54">
        <v>396401</v>
      </c>
      <c r="Q40" s="41" t="s">
        <v>8</v>
      </c>
      <c r="R40" s="47">
        <v>19706</v>
      </c>
      <c r="S40" s="41" t="s">
        <v>8</v>
      </c>
      <c r="T40" s="48">
        <v>100000</v>
      </c>
      <c r="U40" s="48" t="s">
        <v>10</v>
      </c>
      <c r="V40" s="49">
        <v>5</v>
      </c>
      <c r="W40" s="48"/>
      <c r="X40" s="50">
        <f t="shared" si="16"/>
        <v>3.4708508062157475E-3</v>
      </c>
      <c r="Y40" s="51">
        <f t="shared" si="17"/>
        <v>6705</v>
      </c>
      <c r="Z40" s="96">
        <f t="shared" si="18"/>
        <v>33525</v>
      </c>
      <c r="AA40" s="68">
        <v>0</v>
      </c>
      <c r="AB40" s="75">
        <f>632000000+38500000</f>
        <v>670500000</v>
      </c>
    </row>
    <row r="41" spans="1:28" x14ac:dyDescent="0.25">
      <c r="A41" s="40">
        <v>38</v>
      </c>
      <c r="B41" s="40">
        <v>1045</v>
      </c>
      <c r="C41" s="40">
        <v>2025</v>
      </c>
      <c r="D41" s="40">
        <v>12</v>
      </c>
      <c r="E41" s="59" t="s">
        <v>82</v>
      </c>
      <c r="F41" s="41">
        <v>0</v>
      </c>
      <c r="G41" s="42">
        <f t="shared" si="13"/>
        <v>1566710</v>
      </c>
      <c r="H41" s="42">
        <f>SUM($Y$4:Y41)</f>
        <v>1573152</v>
      </c>
      <c r="I41" s="43">
        <f t="shared" si="12"/>
        <v>1567</v>
      </c>
      <c r="J41" s="43">
        <f t="shared" si="14"/>
        <v>1574</v>
      </c>
      <c r="K41" s="44">
        <f t="shared" si="15"/>
        <v>1573.152</v>
      </c>
      <c r="L41" s="45">
        <f>+J41*1000-SUM($Y$4:Y41)</f>
        <v>848</v>
      </c>
      <c r="M41" s="46"/>
      <c r="N41" s="40" t="s">
        <v>6</v>
      </c>
      <c r="O41" s="40" t="s">
        <v>7</v>
      </c>
      <c r="P41" s="54">
        <v>271841</v>
      </c>
      <c r="Q41" s="41" t="s">
        <v>8</v>
      </c>
      <c r="R41" s="47">
        <v>15491</v>
      </c>
      <c r="S41" s="41" t="s">
        <v>8</v>
      </c>
      <c r="T41" s="48">
        <v>100000</v>
      </c>
      <c r="U41" s="48" t="s">
        <v>10</v>
      </c>
      <c r="V41" s="49">
        <v>5</v>
      </c>
      <c r="W41" s="48"/>
      <c r="X41" s="50">
        <f t="shared" si="16"/>
        <v>3.3352262109542226E-3</v>
      </c>
      <c r="Y41" s="51">
        <f t="shared" si="17"/>
        <v>6443</v>
      </c>
      <c r="Z41" s="96">
        <f t="shared" si="18"/>
        <v>32215</v>
      </c>
      <c r="AA41" s="68">
        <v>0</v>
      </c>
      <c r="AB41" s="75">
        <v>644300000</v>
      </c>
    </row>
    <row r="42" spans="1:28" x14ac:dyDescent="0.25">
      <c r="A42" s="40">
        <v>39</v>
      </c>
      <c r="B42" s="40">
        <v>1045</v>
      </c>
      <c r="C42" s="40">
        <v>2025</v>
      </c>
      <c r="D42" s="40">
        <v>12</v>
      </c>
      <c r="E42" s="58" t="s">
        <v>157</v>
      </c>
      <c r="F42" s="41">
        <v>6</v>
      </c>
      <c r="G42" s="42">
        <f t="shared" si="13"/>
        <v>1573153</v>
      </c>
      <c r="H42" s="42">
        <f>SUM($Y$4:Y42)</f>
        <v>1578894</v>
      </c>
      <c r="I42" s="43">
        <f>J40</f>
        <v>1567</v>
      </c>
      <c r="J42" s="43">
        <f t="shared" si="14"/>
        <v>1579</v>
      </c>
      <c r="K42" s="44">
        <f t="shared" si="15"/>
        <v>1578.894</v>
      </c>
      <c r="L42" s="45">
        <f>+J42*1000-SUM($Y$4:Y42)</f>
        <v>106</v>
      </c>
      <c r="M42" s="46" t="s">
        <v>28</v>
      </c>
      <c r="N42" s="40" t="s">
        <v>6</v>
      </c>
      <c r="O42" s="40" t="s">
        <v>7</v>
      </c>
      <c r="P42" s="54">
        <v>181344</v>
      </c>
      <c r="Q42" s="41" t="s">
        <v>8</v>
      </c>
      <c r="R42" s="47">
        <v>14550</v>
      </c>
      <c r="S42" s="41" t="s">
        <v>8</v>
      </c>
      <c r="T42" s="48">
        <v>100000</v>
      </c>
      <c r="U42" s="48" t="s">
        <v>10</v>
      </c>
      <c r="V42" s="49">
        <v>5</v>
      </c>
      <c r="W42" s="48"/>
      <c r="X42" s="50">
        <f t="shared" si="16"/>
        <v>2.9723527709606002E-3</v>
      </c>
      <c r="Y42" s="51">
        <f t="shared" si="17"/>
        <v>5742</v>
      </c>
      <c r="Z42" s="96">
        <f t="shared" si="18"/>
        <v>28710</v>
      </c>
      <c r="AA42" s="68">
        <v>0</v>
      </c>
      <c r="AB42" s="75">
        <v>574200000</v>
      </c>
    </row>
    <row r="43" spans="1:28" x14ac:dyDescent="0.25">
      <c r="A43" s="40">
        <v>40</v>
      </c>
      <c r="B43" s="40">
        <v>1045</v>
      </c>
      <c r="C43" s="40">
        <v>2025</v>
      </c>
      <c r="D43" s="40">
        <v>12</v>
      </c>
      <c r="E43" s="58" t="s">
        <v>158</v>
      </c>
      <c r="F43" s="41">
        <v>9</v>
      </c>
      <c r="G43" s="42">
        <f t="shared" si="13"/>
        <v>1578895</v>
      </c>
      <c r="H43" s="42">
        <f>SUM($Y$4:Y43)</f>
        <v>1584593</v>
      </c>
      <c r="I43" s="43">
        <f t="shared" ref="I43:I74" si="19">J42</f>
        <v>1579</v>
      </c>
      <c r="J43" s="43">
        <f t="shared" si="14"/>
        <v>1585</v>
      </c>
      <c r="K43" s="44">
        <f t="shared" si="15"/>
        <v>1584.5930000000001</v>
      </c>
      <c r="L43" s="45">
        <f>+J43*1000-SUM($Y$4:Y43)</f>
        <v>407</v>
      </c>
      <c r="M43" s="46" t="s">
        <v>111</v>
      </c>
      <c r="N43" s="40" t="s">
        <v>6</v>
      </c>
      <c r="O43" s="40" t="s">
        <v>7</v>
      </c>
      <c r="P43" s="54">
        <v>196661</v>
      </c>
      <c r="Q43" s="41" t="s">
        <v>8</v>
      </c>
      <c r="R43" s="47">
        <v>14470</v>
      </c>
      <c r="S43" s="41" t="s">
        <v>8</v>
      </c>
      <c r="T43" s="48">
        <v>100000</v>
      </c>
      <c r="U43" s="48" t="s">
        <v>10</v>
      </c>
      <c r="V43" s="49">
        <v>5</v>
      </c>
      <c r="W43" s="48"/>
      <c r="X43" s="50">
        <f t="shared" si="16"/>
        <v>2.9500937725016473E-3</v>
      </c>
      <c r="Y43" s="51">
        <f t="shared" si="17"/>
        <v>5699</v>
      </c>
      <c r="Z43" s="96">
        <f t="shared" si="18"/>
        <v>28495</v>
      </c>
      <c r="AA43" s="68">
        <v>0</v>
      </c>
      <c r="AB43" s="75">
        <f>537200000+32700000</f>
        <v>569900000</v>
      </c>
    </row>
    <row r="44" spans="1:28" x14ac:dyDescent="0.25">
      <c r="A44" s="40">
        <v>41</v>
      </c>
      <c r="B44" s="40">
        <v>1045</v>
      </c>
      <c r="C44" s="40">
        <v>2025</v>
      </c>
      <c r="D44" s="40">
        <v>12</v>
      </c>
      <c r="E44" s="97" t="s">
        <v>142</v>
      </c>
      <c r="F44" s="41">
        <v>2</v>
      </c>
      <c r="G44" s="42">
        <f t="shared" si="13"/>
        <v>1584594</v>
      </c>
      <c r="H44" s="42">
        <f>SUM($Y$4:Y44)</f>
        <v>1590104</v>
      </c>
      <c r="I44" s="43">
        <f t="shared" si="19"/>
        <v>1585</v>
      </c>
      <c r="J44" s="43">
        <f t="shared" si="14"/>
        <v>1591</v>
      </c>
      <c r="K44" s="44">
        <f t="shared" si="15"/>
        <v>1590.104</v>
      </c>
      <c r="L44" s="45">
        <f>+J44*1000-SUM($Y$4:Y44)</f>
        <v>896</v>
      </c>
      <c r="M44" s="46" t="s">
        <v>145</v>
      </c>
      <c r="N44" s="40" t="s">
        <v>6</v>
      </c>
      <c r="O44" s="40" t="s">
        <v>7</v>
      </c>
      <c r="P44" s="54">
        <v>954264</v>
      </c>
      <c r="Q44" s="41" t="s">
        <v>8</v>
      </c>
      <c r="R44" s="47">
        <v>26320</v>
      </c>
      <c r="S44" s="41" t="s">
        <v>8</v>
      </c>
      <c r="T44" s="48">
        <v>100000</v>
      </c>
      <c r="U44" s="48" t="s">
        <v>10</v>
      </c>
      <c r="V44" s="49">
        <v>5</v>
      </c>
      <c r="W44" s="48"/>
      <c r="X44" s="50">
        <f t="shared" si="16"/>
        <v>2.8527753606345987E-3</v>
      </c>
      <c r="Y44" s="51">
        <f t="shared" si="17"/>
        <v>5511</v>
      </c>
      <c r="Z44" s="96">
        <f t="shared" si="18"/>
        <v>27555</v>
      </c>
      <c r="AA44" s="68">
        <v>0</v>
      </c>
      <c r="AB44" s="75">
        <v>551100000</v>
      </c>
    </row>
    <row r="45" spans="1:28" x14ac:dyDescent="0.25">
      <c r="A45" s="40">
        <v>42</v>
      </c>
      <c r="B45" s="40">
        <v>1045</v>
      </c>
      <c r="C45" s="40">
        <v>2025</v>
      </c>
      <c r="D45" s="40">
        <v>12</v>
      </c>
      <c r="E45" s="98" t="s">
        <v>200</v>
      </c>
      <c r="F45" s="41">
        <v>0</v>
      </c>
      <c r="G45" s="42">
        <f t="shared" si="13"/>
        <v>1590105</v>
      </c>
      <c r="H45" s="42">
        <f>SUM($Y$4:Y45)</f>
        <v>1595110</v>
      </c>
      <c r="I45" s="43">
        <f t="shared" si="19"/>
        <v>1591</v>
      </c>
      <c r="J45" s="43">
        <f t="shared" si="14"/>
        <v>1596</v>
      </c>
      <c r="K45" s="44">
        <f t="shared" si="15"/>
        <v>1595.11</v>
      </c>
      <c r="L45" s="45">
        <f>+J45*1000-SUM($Y$4:Y45)</f>
        <v>890</v>
      </c>
      <c r="M45" s="46"/>
      <c r="N45" s="40" t="s">
        <v>6</v>
      </c>
      <c r="O45" s="40" t="s">
        <v>7</v>
      </c>
      <c r="P45" s="54">
        <v>234353</v>
      </c>
      <c r="Q45" s="41" t="s">
        <v>8</v>
      </c>
      <c r="R45" s="47">
        <v>9251</v>
      </c>
      <c r="S45" s="41" t="s">
        <v>8</v>
      </c>
      <c r="T45" s="48">
        <v>100000</v>
      </c>
      <c r="U45" s="48" t="s">
        <v>10</v>
      </c>
      <c r="V45" s="49">
        <v>5</v>
      </c>
      <c r="W45" s="48"/>
      <c r="X45" s="50">
        <f t="shared" si="16"/>
        <v>2.591361541523644E-3</v>
      </c>
      <c r="Y45" s="51">
        <f t="shared" si="17"/>
        <v>5006</v>
      </c>
      <c r="Z45" s="96">
        <f t="shared" si="18"/>
        <v>25030</v>
      </c>
      <c r="AA45" s="68">
        <v>0</v>
      </c>
      <c r="AB45" s="75">
        <v>500600000</v>
      </c>
    </row>
    <row r="46" spans="1:28" x14ac:dyDescent="0.25">
      <c r="A46" s="40">
        <v>43</v>
      </c>
      <c r="B46" s="40">
        <v>1045</v>
      </c>
      <c r="C46" s="40">
        <v>2025</v>
      </c>
      <c r="D46" s="40">
        <v>12</v>
      </c>
      <c r="E46" s="59" t="s">
        <v>87</v>
      </c>
      <c r="F46" s="41">
        <v>2</v>
      </c>
      <c r="G46" s="42">
        <f t="shared" si="13"/>
        <v>1595111</v>
      </c>
      <c r="H46" s="42">
        <f>SUM($Y$4:Y46)</f>
        <v>1599868</v>
      </c>
      <c r="I46" s="43">
        <f t="shared" si="19"/>
        <v>1596</v>
      </c>
      <c r="J46" s="43">
        <f t="shared" si="14"/>
        <v>1600</v>
      </c>
      <c r="K46" s="44">
        <f t="shared" si="15"/>
        <v>1599.8679999999999</v>
      </c>
      <c r="L46" s="45">
        <f>+J46*1000-SUM($Y$4:Y46)</f>
        <v>132</v>
      </c>
      <c r="M46" s="46" t="s">
        <v>22</v>
      </c>
      <c r="N46" s="40" t="s">
        <v>6</v>
      </c>
      <c r="O46" s="40" t="s">
        <v>7</v>
      </c>
      <c r="P46" s="55">
        <v>320345</v>
      </c>
      <c r="Q46" s="41" t="s">
        <v>8</v>
      </c>
      <c r="R46" s="47">
        <v>19198</v>
      </c>
      <c r="S46" s="41" t="s">
        <v>8</v>
      </c>
      <c r="T46" s="48">
        <v>100000</v>
      </c>
      <c r="U46" s="48" t="s">
        <v>10</v>
      </c>
      <c r="V46" s="49">
        <v>5</v>
      </c>
      <c r="W46" s="48"/>
      <c r="X46" s="50">
        <f t="shared" si="16"/>
        <v>2.4629840620394518E-3</v>
      </c>
      <c r="Y46" s="51">
        <f t="shared" si="17"/>
        <v>4757.9999999999991</v>
      </c>
      <c r="Z46" s="96">
        <f t="shared" si="18"/>
        <v>23789.999999999996</v>
      </c>
      <c r="AA46" s="68">
        <v>0</v>
      </c>
      <c r="AB46" s="75">
        <v>475799999.99999994</v>
      </c>
    </row>
    <row r="47" spans="1:28" x14ac:dyDescent="0.25">
      <c r="A47" s="40">
        <v>44</v>
      </c>
      <c r="B47" s="40">
        <v>1045</v>
      </c>
      <c r="C47" s="40">
        <v>2025</v>
      </c>
      <c r="D47" s="40">
        <v>12</v>
      </c>
      <c r="E47" s="99" t="s">
        <v>181</v>
      </c>
      <c r="F47" s="41">
        <v>0</v>
      </c>
      <c r="G47" s="42">
        <f t="shared" si="13"/>
        <v>1599869</v>
      </c>
      <c r="H47" s="42">
        <f>SUM($Y$4:Y47)</f>
        <v>1604405</v>
      </c>
      <c r="I47" s="43">
        <f t="shared" si="19"/>
        <v>1600</v>
      </c>
      <c r="J47" s="43">
        <f t="shared" si="14"/>
        <v>1605</v>
      </c>
      <c r="K47" s="44">
        <f t="shared" si="15"/>
        <v>1604.405</v>
      </c>
      <c r="L47" s="45">
        <f>+J47*1000-SUM($Y$4:Y47)</f>
        <v>595</v>
      </c>
      <c r="M47" s="46"/>
      <c r="N47" s="40" t="s">
        <v>6</v>
      </c>
      <c r="O47" s="40" t="s">
        <v>7</v>
      </c>
      <c r="P47" s="54">
        <v>447237</v>
      </c>
      <c r="Q47" s="41" t="s">
        <v>8</v>
      </c>
      <c r="R47" s="47">
        <v>20715</v>
      </c>
      <c r="S47" s="41" t="s">
        <v>8</v>
      </c>
      <c r="T47" s="48">
        <v>100000</v>
      </c>
      <c r="U47" s="48" t="s">
        <v>10</v>
      </c>
      <c r="V47" s="49">
        <v>5</v>
      </c>
      <c r="W47" s="48"/>
      <c r="X47" s="50">
        <f t="shared" si="16"/>
        <v>2.3485831629829748E-3</v>
      </c>
      <c r="Y47" s="51">
        <f t="shared" si="17"/>
        <v>4537</v>
      </c>
      <c r="Z47" s="96">
        <f t="shared" si="18"/>
        <v>22685</v>
      </c>
      <c r="AA47" s="68">
        <v>0</v>
      </c>
      <c r="AB47" s="75">
        <f>427700000+26000000</f>
        <v>453700000</v>
      </c>
    </row>
    <row r="48" spans="1:28" x14ac:dyDescent="0.25">
      <c r="A48" s="40">
        <v>45</v>
      </c>
      <c r="B48" s="40">
        <v>1045</v>
      </c>
      <c r="C48" s="40">
        <v>2025</v>
      </c>
      <c r="D48" s="40">
        <v>12</v>
      </c>
      <c r="E48" s="59" t="s">
        <v>88</v>
      </c>
      <c r="F48" s="41">
        <v>9</v>
      </c>
      <c r="G48" s="42">
        <f t="shared" si="13"/>
        <v>1604406</v>
      </c>
      <c r="H48" s="42">
        <f>SUM($Y$4:Y48)</f>
        <v>1608895</v>
      </c>
      <c r="I48" s="43">
        <f t="shared" si="19"/>
        <v>1605</v>
      </c>
      <c r="J48" s="43">
        <f t="shared" si="14"/>
        <v>1609</v>
      </c>
      <c r="K48" s="44">
        <f t="shared" si="15"/>
        <v>1608.895</v>
      </c>
      <c r="L48" s="45">
        <f>+J48*1000-SUM($Y$4:Y48)</f>
        <v>105</v>
      </c>
      <c r="M48" s="46" t="s">
        <v>112</v>
      </c>
      <c r="N48" s="40" t="s">
        <v>6</v>
      </c>
      <c r="O48" s="40" t="s">
        <v>7</v>
      </c>
      <c r="P48" s="54">
        <v>767978</v>
      </c>
      <c r="Q48" s="41" t="s">
        <v>8</v>
      </c>
      <c r="R48" s="47">
        <v>25375</v>
      </c>
      <c r="S48" s="41" t="s">
        <v>8</v>
      </c>
      <c r="T48" s="48">
        <v>100000</v>
      </c>
      <c r="U48" s="48" t="s">
        <v>10</v>
      </c>
      <c r="V48" s="49">
        <v>5</v>
      </c>
      <c r="W48" s="48"/>
      <c r="X48" s="50">
        <f t="shared" si="16"/>
        <v>2.3242535600162127E-3</v>
      </c>
      <c r="Y48" s="51">
        <f t="shared" si="17"/>
        <v>4490</v>
      </c>
      <c r="Z48" s="96">
        <f t="shared" si="18"/>
        <v>22450</v>
      </c>
      <c r="AA48" s="68">
        <v>0</v>
      </c>
      <c r="AB48" s="75">
        <f>423200000+25800000</f>
        <v>449000000</v>
      </c>
    </row>
    <row r="49" spans="1:28" x14ac:dyDescent="0.25">
      <c r="A49" s="40">
        <v>46</v>
      </c>
      <c r="B49" s="40">
        <v>1045</v>
      </c>
      <c r="C49" s="40">
        <v>2025</v>
      </c>
      <c r="D49" s="40">
        <v>12</v>
      </c>
      <c r="E49" s="59" t="s">
        <v>109</v>
      </c>
      <c r="F49" s="41">
        <v>2</v>
      </c>
      <c r="G49" s="42">
        <f t="shared" si="13"/>
        <v>1608896</v>
      </c>
      <c r="H49" s="42">
        <f>SUM($Y$4:Y49)</f>
        <v>1613297</v>
      </c>
      <c r="I49" s="43">
        <f t="shared" si="19"/>
        <v>1609</v>
      </c>
      <c r="J49" s="43">
        <f t="shared" si="14"/>
        <v>1614</v>
      </c>
      <c r="K49" s="44">
        <f t="shared" si="15"/>
        <v>1613.297</v>
      </c>
      <c r="L49" s="45">
        <f>+J49*1000-SUM($Y$4:Y49)</f>
        <v>703</v>
      </c>
      <c r="M49" s="46" t="s">
        <v>217</v>
      </c>
      <c r="N49" s="40" t="s">
        <v>6</v>
      </c>
      <c r="O49" s="40" t="s">
        <v>7</v>
      </c>
      <c r="P49" s="54">
        <v>1240190</v>
      </c>
      <c r="Q49" s="41" t="s">
        <v>8</v>
      </c>
      <c r="R49" s="47">
        <v>26423</v>
      </c>
      <c r="S49" s="41" t="s">
        <v>8</v>
      </c>
      <c r="T49" s="48">
        <v>100000</v>
      </c>
      <c r="U49" s="48" t="s">
        <v>10</v>
      </c>
      <c r="V49" s="49">
        <v>5</v>
      </c>
      <c r="W49" s="48"/>
      <c r="X49" s="50">
        <f t="shared" si="16"/>
        <v>2.2787002608444028E-3</v>
      </c>
      <c r="Y49" s="51">
        <f t="shared" si="17"/>
        <v>4402</v>
      </c>
      <c r="Z49" s="96">
        <f t="shared" si="18"/>
        <v>22010</v>
      </c>
      <c r="AA49" s="68">
        <v>0</v>
      </c>
      <c r="AB49" s="75">
        <f>392400000+47800000</f>
        <v>440200000</v>
      </c>
    </row>
    <row r="50" spans="1:28" x14ac:dyDescent="0.25">
      <c r="A50" s="40">
        <v>47</v>
      </c>
      <c r="B50" s="40">
        <v>1045</v>
      </c>
      <c r="C50" s="40">
        <v>2025</v>
      </c>
      <c r="D50" s="40">
        <v>12</v>
      </c>
      <c r="E50" s="59" t="s">
        <v>91</v>
      </c>
      <c r="F50" s="41">
        <v>9</v>
      </c>
      <c r="G50" s="42">
        <f t="shared" si="13"/>
        <v>1613298</v>
      </c>
      <c r="H50" s="42">
        <f>SUM($Y$4:Y50)</f>
        <v>1617644</v>
      </c>
      <c r="I50" s="43">
        <f t="shared" si="19"/>
        <v>1614</v>
      </c>
      <c r="J50" s="43">
        <f t="shared" si="14"/>
        <v>1618</v>
      </c>
      <c r="K50" s="44">
        <f t="shared" si="15"/>
        <v>1617.644</v>
      </c>
      <c r="L50" s="45">
        <f>+J50*1000-SUM($Y$4:Y50)</f>
        <v>356</v>
      </c>
      <c r="M50" s="46" t="s">
        <v>133</v>
      </c>
      <c r="N50" s="40" t="s">
        <v>6</v>
      </c>
      <c r="O50" s="40" t="s">
        <v>7</v>
      </c>
      <c r="P50" s="54">
        <v>146530</v>
      </c>
      <c r="Q50" s="41" t="s">
        <v>8</v>
      </c>
      <c r="R50" s="47">
        <v>13586</v>
      </c>
      <c r="S50" s="41" t="s">
        <v>8</v>
      </c>
      <c r="T50" s="48">
        <v>100000</v>
      </c>
      <c r="U50" s="48" t="s">
        <v>10</v>
      </c>
      <c r="V50" s="49">
        <v>5</v>
      </c>
      <c r="W50" s="48"/>
      <c r="X50" s="50">
        <f t="shared" si="16"/>
        <v>2.2502294488620216E-3</v>
      </c>
      <c r="Y50" s="51">
        <f t="shared" si="17"/>
        <v>4347</v>
      </c>
      <c r="Z50" s="96">
        <f t="shared" si="18"/>
        <v>21735</v>
      </c>
      <c r="AA50" s="68">
        <v>0</v>
      </c>
      <c r="AB50" s="75">
        <f>409800000+24900000</f>
        <v>434700000</v>
      </c>
    </row>
    <row r="51" spans="1:28" x14ac:dyDescent="0.25">
      <c r="A51" s="40">
        <v>48</v>
      </c>
      <c r="B51" s="40">
        <v>1045</v>
      </c>
      <c r="C51" s="40">
        <v>2025</v>
      </c>
      <c r="D51" s="40">
        <v>12</v>
      </c>
      <c r="E51" s="59" t="s">
        <v>136</v>
      </c>
      <c r="F51" s="41">
        <v>2</v>
      </c>
      <c r="G51" s="42">
        <f t="shared" si="13"/>
        <v>1617645</v>
      </c>
      <c r="H51" s="42">
        <f>SUM($Y$4:Y51)</f>
        <v>1621964</v>
      </c>
      <c r="I51" s="43">
        <f t="shared" si="19"/>
        <v>1618</v>
      </c>
      <c r="J51" s="43">
        <f t="shared" si="14"/>
        <v>1622</v>
      </c>
      <c r="K51" s="44">
        <f t="shared" si="15"/>
        <v>1621.9639999999999</v>
      </c>
      <c r="L51" s="45">
        <f>+J51*1000-SUM($Y$4:Y51)</f>
        <v>36</v>
      </c>
      <c r="M51" s="46" t="s">
        <v>217</v>
      </c>
      <c r="N51" s="40" t="s">
        <v>6</v>
      </c>
      <c r="O51" s="40" t="s">
        <v>7</v>
      </c>
      <c r="P51" s="54">
        <v>1041568</v>
      </c>
      <c r="Q51" s="41" t="s">
        <v>8</v>
      </c>
      <c r="R51" s="47">
        <v>24886</v>
      </c>
      <c r="S51" s="41" t="s">
        <v>8</v>
      </c>
      <c r="T51" s="48">
        <v>100000</v>
      </c>
      <c r="U51" s="48" t="s">
        <v>10</v>
      </c>
      <c r="V51" s="49">
        <v>5</v>
      </c>
      <c r="W51" s="48"/>
      <c r="X51" s="50">
        <f t="shared" si="16"/>
        <v>2.2362528684343073E-3</v>
      </c>
      <c r="Y51" s="51">
        <f t="shared" si="17"/>
        <v>4320</v>
      </c>
      <c r="Z51" s="96">
        <f t="shared" si="18"/>
        <v>21600</v>
      </c>
      <c r="AA51" s="68">
        <v>0</v>
      </c>
      <c r="AB51" s="75">
        <f>407200000+24800000</f>
        <v>432000000</v>
      </c>
    </row>
    <row r="52" spans="1:28" x14ac:dyDescent="0.25">
      <c r="A52" s="40">
        <v>49</v>
      </c>
      <c r="B52" s="40">
        <v>1045</v>
      </c>
      <c r="C52" s="40">
        <v>2025</v>
      </c>
      <c r="D52" s="40">
        <v>12</v>
      </c>
      <c r="E52" s="58" t="s">
        <v>159</v>
      </c>
      <c r="F52" s="41">
        <v>2</v>
      </c>
      <c r="G52" s="42">
        <f t="shared" si="13"/>
        <v>1621965</v>
      </c>
      <c r="H52" s="42">
        <f>SUM($Y$4:Y52)</f>
        <v>1626284</v>
      </c>
      <c r="I52" s="43">
        <f t="shared" si="19"/>
        <v>1622</v>
      </c>
      <c r="J52" s="43">
        <f t="shared" si="14"/>
        <v>1627</v>
      </c>
      <c r="K52" s="44">
        <f t="shared" si="15"/>
        <v>1626.2840000000001</v>
      </c>
      <c r="L52" s="45">
        <f>+J52*1000-SUM($Y$4:Y52)</f>
        <v>716</v>
      </c>
      <c r="M52" s="46" t="s">
        <v>217</v>
      </c>
      <c r="N52" s="40" t="s">
        <v>6</v>
      </c>
      <c r="O52" s="40" t="s">
        <v>7</v>
      </c>
      <c r="P52" s="54">
        <v>1240193</v>
      </c>
      <c r="Q52" s="41" t="s">
        <v>8</v>
      </c>
      <c r="R52" s="47">
        <v>28551</v>
      </c>
      <c r="S52" s="41" t="s">
        <v>8</v>
      </c>
      <c r="T52" s="48">
        <v>100000</v>
      </c>
      <c r="U52" s="48" t="s">
        <v>10</v>
      </c>
      <c r="V52" s="49">
        <v>5</v>
      </c>
      <c r="W52" s="48"/>
      <c r="X52" s="50">
        <f t="shared" si="16"/>
        <v>2.2362528684343073E-3</v>
      </c>
      <c r="Y52" s="51">
        <f t="shared" si="17"/>
        <v>4320</v>
      </c>
      <c r="Z52" s="96">
        <f t="shared" si="18"/>
        <v>21600</v>
      </c>
      <c r="AA52" s="68">
        <v>0</v>
      </c>
      <c r="AB52" s="75">
        <f>407200000+24800000</f>
        <v>432000000</v>
      </c>
    </row>
    <row r="53" spans="1:28" x14ac:dyDescent="0.25">
      <c r="A53" s="40">
        <v>50</v>
      </c>
      <c r="B53" s="40">
        <v>1045</v>
      </c>
      <c r="C53" s="40">
        <v>2025</v>
      </c>
      <c r="D53" s="40">
        <v>12</v>
      </c>
      <c r="E53" s="58" t="s">
        <v>147</v>
      </c>
      <c r="F53" s="41">
        <v>9</v>
      </c>
      <c r="G53" s="42">
        <f t="shared" si="13"/>
        <v>1626285</v>
      </c>
      <c r="H53" s="42">
        <f>SUM($Y$4:Y53)</f>
        <v>1630516</v>
      </c>
      <c r="I53" s="43">
        <f t="shared" si="19"/>
        <v>1627</v>
      </c>
      <c r="J53" s="43">
        <f t="shared" si="14"/>
        <v>1631</v>
      </c>
      <c r="K53" s="44">
        <f t="shared" si="15"/>
        <v>1630.5160000000001</v>
      </c>
      <c r="L53" s="45">
        <f>+J53*1000-SUM($Y$4:Y53)</f>
        <v>484</v>
      </c>
      <c r="M53" s="46" t="s">
        <v>20</v>
      </c>
      <c r="N53" s="40" t="s">
        <v>6</v>
      </c>
      <c r="O53" s="40" t="s">
        <v>7</v>
      </c>
      <c r="P53" s="54">
        <v>767977</v>
      </c>
      <c r="Q53" s="41" t="s">
        <v>8</v>
      </c>
      <c r="R53" s="47">
        <v>24582</v>
      </c>
      <c r="S53" s="41" t="s">
        <v>8</v>
      </c>
      <c r="T53" s="48">
        <v>100000</v>
      </c>
      <c r="U53" s="48" t="s">
        <v>10</v>
      </c>
      <c r="V53" s="49">
        <v>5</v>
      </c>
      <c r="W53" s="48"/>
      <c r="X53" s="50">
        <f t="shared" si="16"/>
        <v>2.1906995692624973E-3</v>
      </c>
      <c r="Y53" s="51">
        <f t="shared" si="17"/>
        <v>4232</v>
      </c>
      <c r="Z53" s="96">
        <f t="shared" si="18"/>
        <v>21160</v>
      </c>
      <c r="AA53" s="68">
        <v>0</v>
      </c>
      <c r="AB53" s="75">
        <v>423200000</v>
      </c>
    </row>
    <row r="54" spans="1:28" x14ac:dyDescent="0.25">
      <c r="A54" s="40">
        <v>51</v>
      </c>
      <c r="B54" s="40">
        <v>1045</v>
      </c>
      <c r="C54" s="40">
        <v>2025</v>
      </c>
      <c r="D54" s="40">
        <v>12</v>
      </c>
      <c r="E54" s="59" t="s">
        <v>92</v>
      </c>
      <c r="F54" s="41">
        <v>12</v>
      </c>
      <c r="G54" s="42">
        <f t="shared" si="13"/>
        <v>1630517</v>
      </c>
      <c r="H54" s="42">
        <f>SUM($Y$4:Y54)</f>
        <v>1634705</v>
      </c>
      <c r="I54" s="43">
        <f t="shared" si="19"/>
        <v>1631</v>
      </c>
      <c r="J54" s="43">
        <f t="shared" si="14"/>
        <v>1635</v>
      </c>
      <c r="K54" s="44">
        <f t="shared" si="15"/>
        <v>1634.7049999999999</v>
      </c>
      <c r="L54" s="45">
        <f>+J54*1000-SUM($Y$4:Y54)</f>
        <v>295</v>
      </c>
      <c r="M54" s="46" t="s">
        <v>26</v>
      </c>
      <c r="N54" s="40" t="s">
        <v>6</v>
      </c>
      <c r="O54" s="40" t="s">
        <v>7</v>
      </c>
      <c r="P54" s="54">
        <v>568559</v>
      </c>
      <c r="Q54" s="41" t="s">
        <v>8</v>
      </c>
      <c r="R54" s="47">
        <v>25094</v>
      </c>
      <c r="S54" s="41" t="s">
        <v>8</v>
      </c>
      <c r="T54" s="48">
        <v>100000</v>
      </c>
      <c r="U54" s="48" t="s">
        <v>10</v>
      </c>
      <c r="V54" s="49">
        <v>5</v>
      </c>
      <c r="W54" s="48"/>
      <c r="X54" s="50">
        <f t="shared" si="16"/>
        <v>2.1684405708035448E-3</v>
      </c>
      <c r="Y54" s="51">
        <f t="shared" si="17"/>
        <v>4189</v>
      </c>
      <c r="Z54" s="96">
        <f t="shared" si="18"/>
        <v>20945</v>
      </c>
      <c r="AA54" s="68">
        <v>0</v>
      </c>
      <c r="AB54" s="75">
        <f>394900000+24000000</f>
        <v>418900000</v>
      </c>
    </row>
    <row r="55" spans="1:28" x14ac:dyDescent="0.25">
      <c r="A55" s="40">
        <v>52</v>
      </c>
      <c r="B55" s="40">
        <v>1045</v>
      </c>
      <c r="C55" s="40">
        <v>2025</v>
      </c>
      <c r="D55" s="40">
        <v>12</v>
      </c>
      <c r="E55" s="59" t="s">
        <v>93</v>
      </c>
      <c r="F55" s="41">
        <v>12</v>
      </c>
      <c r="G55" s="42">
        <f t="shared" si="13"/>
        <v>1634706</v>
      </c>
      <c r="H55" s="42">
        <f>SUM($Y$4:Y55)</f>
        <v>1638894</v>
      </c>
      <c r="I55" s="43">
        <f t="shared" si="19"/>
        <v>1635</v>
      </c>
      <c r="J55" s="43">
        <f t="shared" si="14"/>
        <v>1639</v>
      </c>
      <c r="K55" s="44">
        <f t="shared" si="15"/>
        <v>1638.894</v>
      </c>
      <c r="L55" s="45">
        <f>+J55*1000-SUM($Y$4:Y55)</f>
        <v>106</v>
      </c>
      <c r="M55" s="46" t="s">
        <v>27</v>
      </c>
      <c r="N55" s="40" t="s">
        <v>6</v>
      </c>
      <c r="O55" s="40" t="s">
        <v>7</v>
      </c>
      <c r="P55" s="54">
        <v>568561</v>
      </c>
      <c r="Q55" s="41" t="s">
        <v>8</v>
      </c>
      <c r="R55" s="47">
        <v>24451</v>
      </c>
      <c r="S55" s="41" t="s">
        <v>8</v>
      </c>
      <c r="T55" s="48">
        <v>100000</v>
      </c>
      <c r="U55" s="48" t="s">
        <v>10</v>
      </c>
      <c r="V55" s="49">
        <v>5</v>
      </c>
      <c r="W55" s="48"/>
      <c r="X55" s="50">
        <f t="shared" si="16"/>
        <v>2.1684405708035448E-3</v>
      </c>
      <c r="Y55" s="51">
        <f t="shared" si="17"/>
        <v>4189</v>
      </c>
      <c r="Z55" s="96">
        <f t="shared" si="18"/>
        <v>20945</v>
      </c>
      <c r="AA55" s="68">
        <v>0</v>
      </c>
      <c r="AB55" s="75">
        <f>394900000+24000000</f>
        <v>418900000</v>
      </c>
    </row>
    <row r="56" spans="1:28" x14ac:dyDescent="0.25">
      <c r="A56" s="40">
        <v>53</v>
      </c>
      <c r="B56" s="40">
        <v>1045</v>
      </c>
      <c r="C56" s="40">
        <v>2025</v>
      </c>
      <c r="D56" s="40">
        <v>12</v>
      </c>
      <c r="E56" s="59" t="s">
        <v>98</v>
      </c>
      <c r="F56" s="41">
        <v>11</v>
      </c>
      <c r="G56" s="42">
        <f t="shared" si="13"/>
        <v>1638895</v>
      </c>
      <c r="H56" s="42">
        <f>SUM($Y$4:Y56)</f>
        <v>1643028</v>
      </c>
      <c r="I56" s="43">
        <f t="shared" si="19"/>
        <v>1639</v>
      </c>
      <c r="J56" s="43">
        <f t="shared" si="14"/>
        <v>1644</v>
      </c>
      <c r="K56" s="44">
        <f t="shared" si="15"/>
        <v>1643.028</v>
      </c>
      <c r="L56" s="45">
        <f>+J56*1000-SUM($Y$4:Y56)</f>
        <v>972</v>
      </c>
      <c r="M56" s="95" t="s">
        <v>218</v>
      </c>
      <c r="N56" s="40" t="s">
        <v>6</v>
      </c>
      <c r="O56" s="40" t="s">
        <v>7</v>
      </c>
      <c r="P56" s="54">
        <v>507340</v>
      </c>
      <c r="Q56" s="41" t="s">
        <v>8</v>
      </c>
      <c r="R56" s="47">
        <v>23836</v>
      </c>
      <c r="S56" s="41" t="s">
        <v>8</v>
      </c>
      <c r="T56" s="48">
        <v>100000</v>
      </c>
      <c r="U56" s="48" t="s">
        <v>10</v>
      </c>
      <c r="V56" s="49">
        <v>5</v>
      </c>
      <c r="W56" s="48"/>
      <c r="X56" s="50">
        <f t="shared" si="16"/>
        <v>2.1399697588211633E-3</v>
      </c>
      <c r="Y56" s="51">
        <f t="shared" si="17"/>
        <v>4134</v>
      </c>
      <c r="Z56" s="96">
        <f t="shared" si="18"/>
        <v>20670</v>
      </c>
      <c r="AA56" s="68">
        <v>0</v>
      </c>
      <c r="AB56" s="75">
        <f>389700000+23700000</f>
        <v>413400000</v>
      </c>
    </row>
    <row r="57" spans="1:28" x14ac:dyDescent="0.25">
      <c r="A57" s="40">
        <v>54</v>
      </c>
      <c r="B57" s="40">
        <v>1045</v>
      </c>
      <c r="C57" s="40">
        <v>2025</v>
      </c>
      <c r="D57" s="40">
        <v>12</v>
      </c>
      <c r="E57" s="59" t="s">
        <v>99</v>
      </c>
      <c r="F57" s="41">
        <v>11</v>
      </c>
      <c r="G57" s="42">
        <f t="shared" si="13"/>
        <v>1643029</v>
      </c>
      <c r="H57" s="42">
        <f>SUM($Y$4:Y57)</f>
        <v>1647162</v>
      </c>
      <c r="I57" s="43">
        <f t="shared" si="19"/>
        <v>1644</v>
      </c>
      <c r="J57" s="43">
        <f t="shared" si="14"/>
        <v>1648</v>
      </c>
      <c r="K57" s="44">
        <f t="shared" si="15"/>
        <v>1647.162</v>
      </c>
      <c r="L57" s="45">
        <f>+J57*1000-SUM($Y$4:Y57)</f>
        <v>838</v>
      </c>
      <c r="M57" s="95" t="s">
        <v>219</v>
      </c>
      <c r="N57" s="40" t="s">
        <v>6</v>
      </c>
      <c r="O57" s="40" t="s">
        <v>7</v>
      </c>
      <c r="P57" s="54">
        <v>507668</v>
      </c>
      <c r="Q57" s="41" t="s">
        <v>8</v>
      </c>
      <c r="R57" s="47">
        <v>24416</v>
      </c>
      <c r="S57" s="41" t="s">
        <v>8</v>
      </c>
      <c r="T57" s="48">
        <v>100000</v>
      </c>
      <c r="U57" s="48" t="s">
        <v>10</v>
      </c>
      <c r="V57" s="49">
        <v>5</v>
      </c>
      <c r="W57" s="48"/>
      <c r="X57" s="50">
        <f t="shared" si="16"/>
        <v>2.1399697588211633E-3</v>
      </c>
      <c r="Y57" s="51">
        <f t="shared" si="17"/>
        <v>4134</v>
      </c>
      <c r="Z57" s="96">
        <f t="shared" si="18"/>
        <v>20670</v>
      </c>
      <c r="AA57" s="68">
        <v>0</v>
      </c>
      <c r="AB57" s="75">
        <f>389700000+23700000</f>
        <v>413400000</v>
      </c>
    </row>
    <row r="58" spans="1:28" x14ac:dyDescent="0.25">
      <c r="A58" s="40">
        <v>55</v>
      </c>
      <c r="B58" s="40">
        <v>1045</v>
      </c>
      <c r="C58" s="40">
        <v>2025</v>
      </c>
      <c r="D58" s="40">
        <v>12</v>
      </c>
      <c r="E58" s="59" t="s">
        <v>100</v>
      </c>
      <c r="F58" s="41">
        <v>11</v>
      </c>
      <c r="G58" s="42">
        <f t="shared" si="13"/>
        <v>1647163</v>
      </c>
      <c r="H58" s="42">
        <f>SUM($Y$4:Y58)</f>
        <v>1651296</v>
      </c>
      <c r="I58" s="43">
        <f t="shared" si="19"/>
        <v>1648</v>
      </c>
      <c r="J58" s="43">
        <f t="shared" si="14"/>
        <v>1652</v>
      </c>
      <c r="K58" s="44">
        <f t="shared" si="15"/>
        <v>1651.296</v>
      </c>
      <c r="L58" s="45">
        <f>+J58*1000-SUM($Y$4:Y58)</f>
        <v>704</v>
      </c>
      <c r="M58" s="95" t="s">
        <v>220</v>
      </c>
      <c r="N58" s="40" t="s">
        <v>6</v>
      </c>
      <c r="O58" s="40" t="s">
        <v>7</v>
      </c>
      <c r="P58" s="54">
        <v>507665</v>
      </c>
      <c r="Q58" s="41" t="s">
        <v>8</v>
      </c>
      <c r="R58" s="47">
        <v>23419</v>
      </c>
      <c r="S58" s="41" t="s">
        <v>8</v>
      </c>
      <c r="T58" s="48">
        <v>100000</v>
      </c>
      <c r="U58" s="48" t="s">
        <v>10</v>
      </c>
      <c r="V58" s="49">
        <v>5</v>
      </c>
      <c r="W58" s="48"/>
      <c r="X58" s="50">
        <f t="shared" si="16"/>
        <v>2.1399697588211633E-3</v>
      </c>
      <c r="Y58" s="51">
        <f t="shared" si="17"/>
        <v>4134</v>
      </c>
      <c r="Z58" s="96">
        <f t="shared" si="18"/>
        <v>20670</v>
      </c>
      <c r="AA58" s="68">
        <v>0</v>
      </c>
      <c r="AB58" s="75">
        <f>389700000+23700000</f>
        <v>413400000</v>
      </c>
    </row>
    <row r="59" spans="1:28" x14ac:dyDescent="0.25">
      <c r="A59" s="40">
        <v>56</v>
      </c>
      <c r="B59" s="40">
        <v>1045</v>
      </c>
      <c r="C59" s="40">
        <v>2025</v>
      </c>
      <c r="D59" s="40">
        <v>12</v>
      </c>
      <c r="E59" s="58" t="s">
        <v>160</v>
      </c>
      <c r="F59" s="41">
        <v>10</v>
      </c>
      <c r="G59" s="42">
        <f t="shared" si="13"/>
        <v>1651297</v>
      </c>
      <c r="H59" s="42">
        <f>SUM($Y$4:Y59)</f>
        <v>1655408</v>
      </c>
      <c r="I59" s="43">
        <f t="shared" si="19"/>
        <v>1652</v>
      </c>
      <c r="J59" s="43">
        <f t="shared" si="14"/>
        <v>1656</v>
      </c>
      <c r="K59" s="44">
        <f t="shared" si="15"/>
        <v>1655.4079999999999</v>
      </c>
      <c r="L59" s="45">
        <f>+J59*1000-SUM($Y$4:Y59)</f>
        <v>592</v>
      </c>
      <c r="M59" s="46"/>
      <c r="N59" s="40" t="s">
        <v>6</v>
      </c>
      <c r="O59" s="40" t="s">
        <v>7</v>
      </c>
      <c r="P59" s="54">
        <v>107653</v>
      </c>
      <c r="Q59" s="41" t="s">
        <v>8</v>
      </c>
      <c r="R59" s="47">
        <v>11978</v>
      </c>
      <c r="S59" s="41" t="s">
        <v>8</v>
      </c>
      <c r="T59" s="48">
        <v>100000</v>
      </c>
      <c r="U59" s="48" t="s">
        <v>10</v>
      </c>
      <c r="V59" s="49">
        <v>5</v>
      </c>
      <c r="W59" s="48"/>
      <c r="X59" s="50">
        <f t="shared" si="16"/>
        <v>2.128581434028211E-3</v>
      </c>
      <c r="Y59" s="51">
        <f t="shared" si="17"/>
        <v>4112</v>
      </c>
      <c r="Z59" s="96">
        <f t="shared" si="18"/>
        <v>20560</v>
      </c>
      <c r="AA59" s="68">
        <v>0</v>
      </c>
      <c r="AB59" s="75">
        <f>387600000+23600000</f>
        <v>411200000</v>
      </c>
    </row>
    <row r="60" spans="1:28" x14ac:dyDescent="0.25">
      <c r="A60" s="40">
        <v>57</v>
      </c>
      <c r="B60" s="40">
        <v>1045</v>
      </c>
      <c r="C60" s="40">
        <v>2025</v>
      </c>
      <c r="D60" s="40">
        <v>12</v>
      </c>
      <c r="E60" s="58" t="s">
        <v>161</v>
      </c>
      <c r="F60" s="41">
        <v>12</v>
      </c>
      <c r="G60" s="42">
        <f>H59+$G$4</f>
        <v>1655409</v>
      </c>
      <c r="H60" s="42">
        <f>SUM($Y$4:Y60)</f>
        <v>1659385</v>
      </c>
      <c r="I60" s="43">
        <f>J59</f>
        <v>1656</v>
      </c>
      <c r="J60" s="43">
        <f>ROUNDUP(K60,0)</f>
        <v>1660</v>
      </c>
      <c r="K60" s="44">
        <f>+H60/1000</f>
        <v>1659.385</v>
      </c>
      <c r="L60" s="45">
        <f>+J60*1000-SUM($Y$4:Y60)</f>
        <v>615</v>
      </c>
      <c r="M60" s="46" t="s">
        <v>190</v>
      </c>
      <c r="N60" s="40" t="s">
        <v>6</v>
      </c>
      <c r="O60" s="40" t="s">
        <v>7</v>
      </c>
      <c r="P60" s="54">
        <v>568560</v>
      </c>
      <c r="Q60" s="41" t="s">
        <v>8</v>
      </c>
      <c r="R60" s="47">
        <v>22395</v>
      </c>
      <c r="S60" s="41" t="s">
        <v>8</v>
      </c>
      <c r="T60" s="48">
        <v>100000</v>
      </c>
      <c r="U60" s="48" t="s">
        <v>10</v>
      </c>
      <c r="V60" s="49">
        <v>5</v>
      </c>
      <c r="W60" s="48"/>
      <c r="X60" s="50">
        <f>AB60/$AB$3</f>
        <v>2.058698531889639E-3</v>
      </c>
      <c r="Y60" s="51">
        <f>AB60/100000</f>
        <v>3977</v>
      </c>
      <c r="Z60" s="96">
        <f>Y60*5</f>
        <v>19885</v>
      </c>
      <c r="AA60" s="68">
        <v>0</v>
      </c>
      <c r="AB60" s="75">
        <f>374900000+22800000</f>
        <v>397700000</v>
      </c>
    </row>
    <row r="61" spans="1:28" x14ac:dyDescent="0.25">
      <c r="A61" s="40">
        <v>58</v>
      </c>
      <c r="B61" s="40">
        <v>1045</v>
      </c>
      <c r="C61" s="40">
        <v>2025</v>
      </c>
      <c r="D61" s="40">
        <v>12</v>
      </c>
      <c r="E61" s="59" t="s">
        <v>90</v>
      </c>
      <c r="F61" s="41">
        <v>3</v>
      </c>
      <c r="G61" s="42">
        <f>H60+$G$4</f>
        <v>1659386</v>
      </c>
      <c r="H61" s="42">
        <f>SUM($Y$4:Y61)</f>
        <v>1662983</v>
      </c>
      <c r="I61" s="43">
        <f>J60</f>
        <v>1660</v>
      </c>
      <c r="J61" s="43">
        <f>ROUNDUP(K61,0)</f>
        <v>1663</v>
      </c>
      <c r="K61" s="44">
        <f>+H61/1000</f>
        <v>1662.9829999999999</v>
      </c>
      <c r="L61" s="45">
        <f>+J61*1000-SUM($Y$4:Y61)</f>
        <v>17</v>
      </c>
      <c r="M61" s="46" t="s">
        <v>17</v>
      </c>
      <c r="N61" s="40" t="s">
        <v>6</v>
      </c>
      <c r="O61" s="40" t="s">
        <v>7</v>
      </c>
      <c r="P61" s="54">
        <v>217564</v>
      </c>
      <c r="Q61" s="41" t="s">
        <v>8</v>
      </c>
      <c r="R61" s="47">
        <v>15749</v>
      </c>
      <c r="S61" s="41" t="s">
        <v>8</v>
      </c>
      <c r="T61" s="48">
        <v>100000</v>
      </c>
      <c r="U61" s="48" t="s">
        <v>10</v>
      </c>
      <c r="V61" s="49">
        <v>5</v>
      </c>
      <c r="W61" s="48"/>
      <c r="X61" s="50">
        <f>AB61/$AB$3</f>
        <v>1.8625087547746845E-3</v>
      </c>
      <c r="Y61" s="51">
        <f>AB61/100000</f>
        <v>3598</v>
      </c>
      <c r="Z61" s="96">
        <f>Y61*5</f>
        <v>17990</v>
      </c>
      <c r="AA61" s="68">
        <v>0</v>
      </c>
      <c r="AB61" s="75">
        <f>409800000-50000000</f>
        <v>359800000</v>
      </c>
    </row>
    <row r="62" spans="1:28" x14ac:dyDescent="0.25">
      <c r="A62" s="40">
        <v>59</v>
      </c>
      <c r="B62" s="40">
        <v>1045</v>
      </c>
      <c r="C62" s="40">
        <v>2025</v>
      </c>
      <c r="D62" s="40">
        <v>12</v>
      </c>
      <c r="E62" s="58" t="s">
        <v>198</v>
      </c>
      <c r="F62" s="41">
        <v>7</v>
      </c>
      <c r="G62" s="42">
        <f t="shared" si="13"/>
        <v>1662984</v>
      </c>
      <c r="H62" s="42">
        <f>SUM($Y$4:Y62)</f>
        <v>1666435</v>
      </c>
      <c r="I62" s="43">
        <f t="shared" si="19"/>
        <v>1663</v>
      </c>
      <c r="J62" s="43">
        <f t="shared" si="14"/>
        <v>1667</v>
      </c>
      <c r="K62" s="44">
        <f t="shared" si="15"/>
        <v>1666.4349999999999</v>
      </c>
      <c r="L62" s="45">
        <f>+J62*1000-SUM($Y$4:Y62)</f>
        <v>565</v>
      </c>
      <c r="M62" s="46" t="s">
        <v>221</v>
      </c>
      <c r="N62" s="40" t="s">
        <v>6</v>
      </c>
      <c r="O62" s="40" t="s">
        <v>7</v>
      </c>
      <c r="P62" s="54">
        <v>794438</v>
      </c>
      <c r="Q62" s="41" t="s">
        <v>8</v>
      </c>
      <c r="R62" s="47">
        <v>24814</v>
      </c>
      <c r="S62" s="41" t="s">
        <v>8</v>
      </c>
      <c r="T62" s="48">
        <v>100000</v>
      </c>
      <c r="U62" s="48" t="s">
        <v>10</v>
      </c>
      <c r="V62" s="49">
        <v>5</v>
      </c>
      <c r="W62" s="48"/>
      <c r="X62" s="50">
        <f t="shared" si="16"/>
        <v>1.7869316902396361E-3</v>
      </c>
      <c r="Y62" s="51">
        <f t="shared" si="17"/>
        <v>3452</v>
      </c>
      <c r="Z62" s="96">
        <f t="shared" si="18"/>
        <v>17260</v>
      </c>
      <c r="AA62" s="68">
        <v>0</v>
      </c>
      <c r="AB62" s="75">
        <f>325400000+19800000</f>
        <v>345200000</v>
      </c>
    </row>
    <row r="63" spans="1:28" x14ac:dyDescent="0.25">
      <c r="A63" s="40">
        <v>60</v>
      </c>
      <c r="B63" s="40">
        <v>1045</v>
      </c>
      <c r="C63" s="40">
        <v>2025</v>
      </c>
      <c r="D63" s="40">
        <v>12</v>
      </c>
      <c r="E63" s="58" t="s">
        <v>162</v>
      </c>
      <c r="F63" s="41">
        <v>0</v>
      </c>
      <c r="G63" s="42">
        <f t="shared" si="13"/>
        <v>1666436</v>
      </c>
      <c r="H63" s="42">
        <f>SUM($Y$4:Y63)</f>
        <v>1669885</v>
      </c>
      <c r="I63" s="43">
        <f t="shared" si="19"/>
        <v>1667</v>
      </c>
      <c r="J63" s="43">
        <f t="shared" si="14"/>
        <v>1670</v>
      </c>
      <c r="K63" s="44">
        <f t="shared" si="15"/>
        <v>1669.885</v>
      </c>
      <c r="L63" s="45">
        <f>+J63*1000-SUM($Y$4:Y63)</f>
        <v>115</v>
      </c>
      <c r="M63" s="46"/>
      <c r="N63" s="40" t="s">
        <v>6</v>
      </c>
      <c r="O63" s="40" t="s">
        <v>7</v>
      </c>
      <c r="P63" s="54">
        <v>790096</v>
      </c>
      <c r="Q63" s="41" t="s">
        <v>8</v>
      </c>
      <c r="R63" s="47">
        <v>27328</v>
      </c>
      <c r="S63" s="41" t="s">
        <v>8</v>
      </c>
      <c r="T63" s="48">
        <v>100000</v>
      </c>
      <c r="U63" s="48" t="s">
        <v>10</v>
      </c>
      <c r="V63" s="49">
        <v>5</v>
      </c>
      <c r="W63" s="48"/>
      <c r="X63" s="50">
        <f t="shared" si="16"/>
        <v>1.7858963879857314E-3</v>
      </c>
      <c r="Y63" s="51">
        <f t="shared" si="17"/>
        <v>3450</v>
      </c>
      <c r="Z63" s="96">
        <f t="shared" si="18"/>
        <v>17250</v>
      </c>
      <c r="AA63" s="68">
        <v>0</v>
      </c>
      <c r="AB63" s="75">
        <f>315000000+30000000</f>
        <v>345000000</v>
      </c>
    </row>
    <row r="64" spans="1:28" x14ac:dyDescent="0.25">
      <c r="A64" s="40">
        <v>61</v>
      </c>
      <c r="B64" s="40">
        <v>1045</v>
      </c>
      <c r="C64" s="40">
        <v>2025</v>
      </c>
      <c r="D64" s="40">
        <v>12</v>
      </c>
      <c r="E64" s="58" t="s">
        <v>201</v>
      </c>
      <c r="F64" s="41">
        <v>2</v>
      </c>
      <c r="G64" s="42">
        <f t="shared" si="13"/>
        <v>1669886</v>
      </c>
      <c r="H64" s="42">
        <f>SUM($Y$4:Y64)</f>
        <v>1673161</v>
      </c>
      <c r="I64" s="43">
        <f t="shared" si="19"/>
        <v>1670</v>
      </c>
      <c r="J64" s="43">
        <f t="shared" si="14"/>
        <v>1674</v>
      </c>
      <c r="K64" s="44">
        <f t="shared" si="15"/>
        <v>1673.1610000000001</v>
      </c>
      <c r="L64" s="45">
        <f>+J64*1000-SUM($Y$4:Y64)</f>
        <v>839</v>
      </c>
      <c r="M64" s="95" t="s">
        <v>224</v>
      </c>
      <c r="N64" s="40" t="s">
        <v>6</v>
      </c>
      <c r="O64" s="40" t="s">
        <v>7</v>
      </c>
      <c r="P64" s="56">
        <v>4478154</v>
      </c>
      <c r="Q64" s="41" t="s">
        <v>8</v>
      </c>
      <c r="R64" s="47">
        <v>36418</v>
      </c>
      <c r="S64" s="41" t="s">
        <v>8</v>
      </c>
      <c r="T64" s="48">
        <v>100000</v>
      </c>
      <c r="U64" s="48" t="s">
        <v>10</v>
      </c>
      <c r="V64" s="49">
        <v>5</v>
      </c>
      <c r="W64" s="48"/>
      <c r="X64" s="50">
        <f t="shared" si="16"/>
        <v>1.6958250918960164E-3</v>
      </c>
      <c r="Y64" s="51">
        <f t="shared" si="17"/>
        <v>3276</v>
      </c>
      <c r="Z64" s="96">
        <f t="shared" si="18"/>
        <v>16380</v>
      </c>
      <c r="AA64" s="68">
        <v>0</v>
      </c>
      <c r="AB64" s="75">
        <v>327600000</v>
      </c>
    </row>
    <row r="65" spans="1:28" x14ac:dyDescent="0.25">
      <c r="A65" s="40">
        <v>62</v>
      </c>
      <c r="B65" s="40">
        <v>1045</v>
      </c>
      <c r="C65" s="40">
        <v>2025</v>
      </c>
      <c r="D65" s="40">
        <v>12</v>
      </c>
      <c r="E65" s="58" t="s">
        <v>197</v>
      </c>
      <c r="F65" s="41">
        <v>7</v>
      </c>
      <c r="G65" s="42">
        <f t="shared" si="13"/>
        <v>1673162</v>
      </c>
      <c r="H65" s="42">
        <f>SUM($Y$4:Y65)</f>
        <v>1676415</v>
      </c>
      <c r="I65" s="43">
        <f t="shared" si="19"/>
        <v>1674</v>
      </c>
      <c r="J65" s="43">
        <f t="shared" si="14"/>
        <v>1677</v>
      </c>
      <c r="K65" s="44">
        <f t="shared" si="15"/>
        <v>1676.415</v>
      </c>
      <c r="L65" s="45">
        <f>+J65*1000-SUM($Y$4:Y65)</f>
        <v>585</v>
      </c>
      <c r="M65" s="46" t="s">
        <v>221</v>
      </c>
      <c r="N65" s="40" t="s">
        <v>6</v>
      </c>
      <c r="O65" s="40" t="s">
        <v>7</v>
      </c>
      <c r="P65" s="54">
        <v>1047701</v>
      </c>
      <c r="Q65" s="41" t="s">
        <v>8</v>
      </c>
      <c r="R65" s="47">
        <v>26552</v>
      </c>
      <c r="S65" s="41" t="s">
        <v>8</v>
      </c>
      <c r="T65" s="48">
        <v>100000</v>
      </c>
      <c r="U65" s="48" t="s">
        <v>10</v>
      </c>
      <c r="V65" s="49">
        <v>5</v>
      </c>
      <c r="W65" s="48"/>
      <c r="X65" s="50">
        <f t="shared" si="16"/>
        <v>1.6844367671030639E-3</v>
      </c>
      <c r="Y65" s="51">
        <f t="shared" si="17"/>
        <v>3254</v>
      </c>
      <c r="Z65" s="96">
        <f t="shared" si="18"/>
        <v>16270</v>
      </c>
      <c r="AA65" s="68">
        <v>0</v>
      </c>
      <c r="AB65" s="75">
        <v>325400000</v>
      </c>
    </row>
    <row r="66" spans="1:28" x14ac:dyDescent="0.25">
      <c r="A66" s="40">
        <v>63</v>
      </c>
      <c r="B66" s="40">
        <v>1045</v>
      </c>
      <c r="C66" s="40">
        <v>2025</v>
      </c>
      <c r="D66" s="40">
        <v>12</v>
      </c>
      <c r="E66" s="59" t="s">
        <v>101</v>
      </c>
      <c r="F66" s="41">
        <v>2</v>
      </c>
      <c r="G66" s="42">
        <f t="shared" si="13"/>
        <v>1676416</v>
      </c>
      <c r="H66" s="42">
        <f>SUM($Y$4:Y66)</f>
        <v>1679660</v>
      </c>
      <c r="I66" s="43">
        <f t="shared" si="19"/>
        <v>1677</v>
      </c>
      <c r="J66" s="43">
        <f t="shared" si="14"/>
        <v>1680</v>
      </c>
      <c r="K66" s="44">
        <f t="shared" si="15"/>
        <v>1679.66</v>
      </c>
      <c r="L66" s="45">
        <f>+J66*1000-SUM($Y$4:Y66)</f>
        <v>340</v>
      </c>
      <c r="M66" s="95" t="s">
        <v>222</v>
      </c>
      <c r="N66" s="40" t="s">
        <v>6</v>
      </c>
      <c r="O66" s="40" t="s">
        <v>7</v>
      </c>
      <c r="P66" s="54">
        <v>4337597</v>
      </c>
      <c r="Q66" s="41" t="s">
        <v>8</v>
      </c>
      <c r="R66" s="47">
        <v>36144</v>
      </c>
      <c r="S66" s="41" t="s">
        <v>8</v>
      </c>
      <c r="T66" s="48">
        <v>100000</v>
      </c>
      <c r="U66" s="48" t="s">
        <v>10</v>
      </c>
      <c r="V66" s="49">
        <v>5</v>
      </c>
      <c r="W66" s="48"/>
      <c r="X66" s="50">
        <f t="shared" si="16"/>
        <v>1.6797779069604923E-3</v>
      </c>
      <c r="Y66" s="51">
        <f t="shared" si="17"/>
        <v>3245</v>
      </c>
      <c r="Z66" s="96">
        <f t="shared" si="18"/>
        <v>16225</v>
      </c>
      <c r="AA66" s="68">
        <v>0</v>
      </c>
      <c r="AB66" s="75">
        <f>305900000+18600000</f>
        <v>324500000</v>
      </c>
    </row>
    <row r="67" spans="1:28" x14ac:dyDescent="0.25">
      <c r="A67" s="40">
        <v>64</v>
      </c>
      <c r="B67" s="40">
        <v>1045</v>
      </c>
      <c r="C67" s="40">
        <v>2025</v>
      </c>
      <c r="D67" s="40">
        <v>12</v>
      </c>
      <c r="E67" s="59" t="s">
        <v>95</v>
      </c>
      <c r="F67" s="41">
        <v>0</v>
      </c>
      <c r="G67" s="42">
        <f t="shared" si="13"/>
        <v>1679661</v>
      </c>
      <c r="H67" s="42">
        <f>SUM($Y$4:Y67)</f>
        <v>1682819</v>
      </c>
      <c r="I67" s="43">
        <f t="shared" si="19"/>
        <v>1680</v>
      </c>
      <c r="J67" s="43">
        <f t="shared" si="14"/>
        <v>1683</v>
      </c>
      <c r="K67" s="44">
        <f t="shared" si="15"/>
        <v>1682.819</v>
      </c>
      <c r="L67" s="45">
        <f>+J67*1000-SUM($Y$4:Y67)</f>
        <v>181</v>
      </c>
      <c r="M67" s="46"/>
      <c r="N67" s="40" t="s">
        <v>6</v>
      </c>
      <c r="O67" s="40" t="s">
        <v>7</v>
      </c>
      <c r="P67" s="54">
        <v>2902605</v>
      </c>
      <c r="Q67" s="41" t="s">
        <v>8</v>
      </c>
      <c r="R67" s="47">
        <v>29411</v>
      </c>
      <c r="S67" s="41" t="s">
        <v>8</v>
      </c>
      <c r="T67" s="48">
        <v>100000</v>
      </c>
      <c r="U67" s="48" t="s">
        <v>10</v>
      </c>
      <c r="V67" s="57">
        <v>5</v>
      </c>
      <c r="W67" s="48"/>
      <c r="X67" s="50">
        <f t="shared" si="16"/>
        <v>1.6352599100425871E-3</v>
      </c>
      <c r="Y67" s="51">
        <f t="shared" si="17"/>
        <v>3159</v>
      </c>
      <c r="Z67" s="96">
        <f t="shared" si="18"/>
        <v>15795</v>
      </c>
      <c r="AA67" s="68">
        <v>0</v>
      </c>
      <c r="AB67" s="75">
        <v>315900000</v>
      </c>
    </row>
    <row r="68" spans="1:28" x14ac:dyDescent="0.25">
      <c r="A68" s="40">
        <v>65</v>
      </c>
      <c r="B68" s="40">
        <v>1045</v>
      </c>
      <c r="C68" s="40">
        <v>2025</v>
      </c>
      <c r="D68" s="40">
        <v>12</v>
      </c>
      <c r="E68" s="58" t="s">
        <v>163</v>
      </c>
      <c r="F68" s="41">
        <v>0</v>
      </c>
      <c r="G68" s="42">
        <f t="shared" si="13"/>
        <v>1682820</v>
      </c>
      <c r="H68" s="42">
        <f>SUM($Y$4:Y68)</f>
        <v>1685600</v>
      </c>
      <c r="I68" s="43">
        <f t="shared" si="19"/>
        <v>1683</v>
      </c>
      <c r="J68" s="43">
        <f t="shared" si="14"/>
        <v>1686</v>
      </c>
      <c r="K68" s="44">
        <f t="shared" si="15"/>
        <v>1685.6</v>
      </c>
      <c r="L68" s="45">
        <f>+J68*1000-SUM($Y$4:Y68)</f>
        <v>400</v>
      </c>
      <c r="M68" s="46"/>
      <c r="N68" s="40" t="s">
        <v>6</v>
      </c>
      <c r="O68" s="40" t="s">
        <v>7</v>
      </c>
      <c r="P68" s="54">
        <v>4172038</v>
      </c>
      <c r="Q68" s="41" t="s">
        <v>8</v>
      </c>
      <c r="R68" s="47">
        <v>31120</v>
      </c>
      <c r="S68" s="41" t="s">
        <v>8</v>
      </c>
      <c r="T68" s="48">
        <v>100000</v>
      </c>
      <c r="U68" s="48" t="s">
        <v>10</v>
      </c>
      <c r="V68" s="49">
        <v>5</v>
      </c>
      <c r="W68" s="81"/>
      <c r="X68" s="50">
        <f t="shared" si="16"/>
        <v>1.4395877840545853E-3</v>
      </c>
      <c r="Y68" s="51">
        <f t="shared" si="17"/>
        <v>2781</v>
      </c>
      <c r="Z68" s="96">
        <f t="shared" si="18"/>
        <v>13905</v>
      </c>
      <c r="AA68" s="68">
        <v>0</v>
      </c>
      <c r="AB68" s="75">
        <f>247900000+30200000</f>
        <v>278100000</v>
      </c>
    </row>
    <row r="69" spans="1:28" x14ac:dyDescent="0.25">
      <c r="A69" s="40">
        <v>66</v>
      </c>
      <c r="B69" s="40">
        <v>1045</v>
      </c>
      <c r="C69" s="40">
        <v>2025</v>
      </c>
      <c r="D69" s="40">
        <v>12</v>
      </c>
      <c r="E69" s="59" t="s">
        <v>128</v>
      </c>
      <c r="F69" s="41">
        <v>15</v>
      </c>
      <c r="G69" s="42">
        <f t="shared" ref="G69:G100" si="20">H68+$G$4</f>
        <v>1685601</v>
      </c>
      <c r="H69" s="42">
        <f>SUM($Y$4:Y69)</f>
        <v>1688280</v>
      </c>
      <c r="I69" s="43">
        <f t="shared" si="19"/>
        <v>1686</v>
      </c>
      <c r="J69" s="43">
        <f t="shared" ref="J69:J100" si="21">ROUNDUP(K69,0)</f>
        <v>1689</v>
      </c>
      <c r="K69" s="44">
        <f t="shared" ref="K69:K100" si="22">+H69/1000</f>
        <v>1688.28</v>
      </c>
      <c r="L69" s="45">
        <f>+J69*1000-SUM($Y$4:Y69)</f>
        <v>720</v>
      </c>
      <c r="M69" s="46" t="s">
        <v>132</v>
      </c>
      <c r="N69" s="40" t="s">
        <v>6</v>
      </c>
      <c r="O69" s="40" t="s">
        <v>7</v>
      </c>
      <c r="P69" s="54">
        <v>2118547</v>
      </c>
      <c r="Q69" s="41" t="s">
        <v>8</v>
      </c>
      <c r="R69" s="47">
        <v>29665</v>
      </c>
      <c r="S69" s="41" t="s">
        <v>8</v>
      </c>
      <c r="T69" s="48">
        <v>100000</v>
      </c>
      <c r="U69" s="48" t="s">
        <v>10</v>
      </c>
      <c r="V69" s="49">
        <v>5</v>
      </c>
      <c r="W69" s="81"/>
      <c r="X69" s="50">
        <f t="shared" ref="X69:X100" si="23">AB69/$AB$3</f>
        <v>1.3873050202323942E-3</v>
      </c>
      <c r="Y69" s="51">
        <f t="shared" ref="Y69:Y100" si="24">AB69/100000</f>
        <v>2680</v>
      </c>
      <c r="Z69" s="96">
        <f t="shared" ref="Z69:Z100" si="25">Y69*5</f>
        <v>13400</v>
      </c>
      <c r="AA69" s="68">
        <v>0</v>
      </c>
      <c r="AB69" s="75">
        <f>252600000+15400000</f>
        <v>268000000</v>
      </c>
    </row>
    <row r="70" spans="1:28" x14ac:dyDescent="0.25">
      <c r="A70" s="40">
        <v>67</v>
      </c>
      <c r="B70" s="40">
        <v>1045</v>
      </c>
      <c r="C70" s="40">
        <v>2025</v>
      </c>
      <c r="D70" s="40">
        <v>12</v>
      </c>
      <c r="E70" s="100" t="s">
        <v>137</v>
      </c>
      <c r="F70" s="41">
        <v>0</v>
      </c>
      <c r="G70" s="42">
        <f t="shared" si="20"/>
        <v>1688281</v>
      </c>
      <c r="H70" s="42">
        <f>SUM($Y$4:Y70)</f>
        <v>1690739</v>
      </c>
      <c r="I70" s="43">
        <f t="shared" si="19"/>
        <v>1689</v>
      </c>
      <c r="J70" s="43">
        <f t="shared" si="21"/>
        <v>1691</v>
      </c>
      <c r="K70" s="44">
        <f t="shared" si="22"/>
        <v>1690.739</v>
      </c>
      <c r="L70" s="45">
        <f>+J70*1000-SUM($Y$4:Y70)</f>
        <v>261</v>
      </c>
      <c r="M70" s="46"/>
      <c r="N70" s="40" t="s">
        <v>6</v>
      </c>
      <c r="O70" s="40" t="s">
        <v>7</v>
      </c>
      <c r="P70" s="54">
        <v>1471307</v>
      </c>
      <c r="Q70" s="41" t="s">
        <v>8</v>
      </c>
      <c r="R70" s="47">
        <v>26361</v>
      </c>
      <c r="S70" s="41" t="s">
        <v>8</v>
      </c>
      <c r="T70" s="48">
        <v>100000</v>
      </c>
      <c r="U70" s="48" t="s">
        <v>10</v>
      </c>
      <c r="V70" s="49">
        <v>5</v>
      </c>
      <c r="W70" s="48"/>
      <c r="X70" s="50">
        <f t="shared" si="23"/>
        <v>1.272904121175917E-3</v>
      </c>
      <c r="Y70" s="51">
        <f t="shared" si="24"/>
        <v>2459</v>
      </c>
      <c r="Z70" s="96">
        <f t="shared" si="25"/>
        <v>12295</v>
      </c>
      <c r="AA70" s="68">
        <v>0</v>
      </c>
      <c r="AB70" s="75">
        <f>219300000+26600000</f>
        <v>245900000</v>
      </c>
    </row>
    <row r="71" spans="1:28" x14ac:dyDescent="0.25">
      <c r="A71" s="40">
        <v>68</v>
      </c>
      <c r="B71" s="40">
        <v>1045</v>
      </c>
      <c r="C71" s="40">
        <v>2025</v>
      </c>
      <c r="D71" s="40">
        <v>12</v>
      </c>
      <c r="E71" s="59" t="s">
        <v>127</v>
      </c>
      <c r="F71" s="41">
        <v>15</v>
      </c>
      <c r="G71" s="42">
        <f t="shared" si="20"/>
        <v>1690740</v>
      </c>
      <c r="H71" s="42">
        <f>SUM($Y$4:Y71)</f>
        <v>1692960</v>
      </c>
      <c r="I71" s="43">
        <f t="shared" si="19"/>
        <v>1691</v>
      </c>
      <c r="J71" s="43">
        <f t="shared" si="21"/>
        <v>1693</v>
      </c>
      <c r="K71" s="44">
        <f t="shared" si="22"/>
        <v>1692.96</v>
      </c>
      <c r="L71" s="45">
        <f>+J71*1000-SUM($Y$4:Y71)</f>
        <v>40</v>
      </c>
      <c r="M71" s="46" t="s">
        <v>132</v>
      </c>
      <c r="N71" s="40" t="s">
        <v>6</v>
      </c>
      <c r="O71" s="40" t="s">
        <v>7</v>
      </c>
      <c r="P71" s="54">
        <v>1434376</v>
      </c>
      <c r="Q71" s="41" t="s">
        <v>8</v>
      </c>
      <c r="R71" s="47">
        <v>28507</v>
      </c>
      <c r="S71" s="41" t="s">
        <v>8</v>
      </c>
      <c r="T71" s="48">
        <v>100000</v>
      </c>
      <c r="U71" s="48" t="s">
        <v>10</v>
      </c>
      <c r="V71" s="49">
        <v>5</v>
      </c>
      <c r="W71" s="48"/>
      <c r="X71" s="50">
        <f t="shared" si="23"/>
        <v>1.1497031529612491E-3</v>
      </c>
      <c r="Y71" s="51">
        <f t="shared" si="24"/>
        <v>2221</v>
      </c>
      <c r="Z71" s="96">
        <f t="shared" si="25"/>
        <v>11105</v>
      </c>
      <c r="AA71" s="68">
        <v>0</v>
      </c>
      <c r="AB71" s="75">
        <v>222100000</v>
      </c>
    </row>
    <row r="72" spans="1:28" x14ac:dyDescent="0.25">
      <c r="A72" s="40">
        <v>69</v>
      </c>
      <c r="B72" s="40">
        <v>1045</v>
      </c>
      <c r="C72" s="40">
        <v>2025</v>
      </c>
      <c r="D72" s="40">
        <v>12</v>
      </c>
      <c r="E72" s="59" t="s">
        <v>102</v>
      </c>
      <c r="F72" s="41">
        <v>2</v>
      </c>
      <c r="G72" s="42">
        <f t="shared" si="20"/>
        <v>1692961</v>
      </c>
      <c r="H72" s="42">
        <f>SUM($Y$4:Y72)</f>
        <v>1695146</v>
      </c>
      <c r="I72" s="43">
        <f t="shared" si="19"/>
        <v>1693</v>
      </c>
      <c r="J72" s="43">
        <f t="shared" si="21"/>
        <v>1696</v>
      </c>
      <c r="K72" s="44">
        <f t="shared" si="22"/>
        <v>1695.146</v>
      </c>
      <c r="L72" s="45">
        <f>+J72*1000-SUM($Y$4:Y72)</f>
        <v>854</v>
      </c>
      <c r="M72" s="95" t="s">
        <v>223</v>
      </c>
      <c r="N72" s="40" t="s">
        <v>6</v>
      </c>
      <c r="O72" s="40" t="s">
        <v>7</v>
      </c>
      <c r="P72" s="54">
        <v>4126480</v>
      </c>
      <c r="Q72" s="41" t="s">
        <v>8</v>
      </c>
      <c r="R72" s="47">
        <v>35635</v>
      </c>
      <c r="S72" s="41" t="s">
        <v>8</v>
      </c>
      <c r="T72" s="48">
        <v>100000</v>
      </c>
      <c r="U72" s="48" t="s">
        <v>10</v>
      </c>
      <c r="V72" s="49">
        <v>5</v>
      </c>
      <c r="W72" s="48"/>
      <c r="X72" s="50">
        <f t="shared" si="23"/>
        <v>1.1315853635179157E-3</v>
      </c>
      <c r="Y72" s="51">
        <f t="shared" si="24"/>
        <v>2186</v>
      </c>
      <c r="Z72" s="96">
        <f t="shared" si="25"/>
        <v>10930</v>
      </c>
      <c r="AA72" s="68">
        <v>0</v>
      </c>
      <c r="AB72" s="75">
        <f>206100000+12500000</f>
        <v>218600000</v>
      </c>
    </row>
    <row r="73" spans="1:28" x14ac:dyDescent="0.25">
      <c r="A73" s="40">
        <v>70</v>
      </c>
      <c r="B73" s="40">
        <v>1045</v>
      </c>
      <c r="C73" s="40">
        <v>2025</v>
      </c>
      <c r="D73" s="40">
        <v>12</v>
      </c>
      <c r="E73" s="58" t="s">
        <v>164</v>
      </c>
      <c r="F73" s="41">
        <v>6</v>
      </c>
      <c r="G73" s="42">
        <f t="shared" si="20"/>
        <v>1695147</v>
      </c>
      <c r="H73" s="42">
        <f>SUM($Y$4:Y73)</f>
        <v>1697107</v>
      </c>
      <c r="I73" s="43">
        <f t="shared" si="19"/>
        <v>1696</v>
      </c>
      <c r="J73" s="43">
        <f t="shared" si="21"/>
        <v>1698</v>
      </c>
      <c r="K73" s="44">
        <f t="shared" si="22"/>
        <v>1697.107</v>
      </c>
      <c r="L73" s="45">
        <f>+J73*1000-SUM($Y$4:Y73)</f>
        <v>893</v>
      </c>
      <c r="M73" s="46" t="s">
        <v>19</v>
      </c>
      <c r="N73" s="40" t="s">
        <v>6</v>
      </c>
      <c r="O73" s="40" t="s">
        <v>7</v>
      </c>
      <c r="P73" s="54">
        <v>878372</v>
      </c>
      <c r="Q73" s="41" t="s">
        <v>8</v>
      </c>
      <c r="R73" s="47">
        <v>23340</v>
      </c>
      <c r="S73" s="41" t="s">
        <v>8</v>
      </c>
      <c r="T73" s="48">
        <v>100000</v>
      </c>
      <c r="U73" s="48" t="s">
        <v>10</v>
      </c>
      <c r="V73" s="49">
        <v>5</v>
      </c>
      <c r="W73" s="48"/>
      <c r="X73" s="50">
        <f t="shared" si="23"/>
        <v>1.0151138599536289E-3</v>
      </c>
      <c r="Y73" s="51">
        <f t="shared" si="24"/>
        <v>1961</v>
      </c>
      <c r="Z73" s="96">
        <f t="shared" si="25"/>
        <v>9805</v>
      </c>
      <c r="AA73" s="68">
        <v>0</v>
      </c>
      <c r="AB73" s="75">
        <v>196100000</v>
      </c>
    </row>
    <row r="74" spans="1:28" x14ac:dyDescent="0.25">
      <c r="A74" s="40">
        <v>71</v>
      </c>
      <c r="B74" s="40">
        <v>1045</v>
      </c>
      <c r="C74" s="40">
        <v>2025</v>
      </c>
      <c r="D74" s="40">
        <v>12</v>
      </c>
      <c r="E74" s="59" t="s">
        <v>96</v>
      </c>
      <c r="F74" s="41">
        <v>6</v>
      </c>
      <c r="G74" s="42">
        <f t="shared" si="20"/>
        <v>1697108</v>
      </c>
      <c r="H74" s="42">
        <f>SUM($Y$4:Y74)</f>
        <v>1699068</v>
      </c>
      <c r="I74" s="43">
        <f t="shared" si="19"/>
        <v>1698</v>
      </c>
      <c r="J74" s="43">
        <f t="shared" si="21"/>
        <v>1700</v>
      </c>
      <c r="K74" s="44">
        <f t="shared" si="22"/>
        <v>1699.068</v>
      </c>
      <c r="L74" s="45">
        <f>+J74*1000-SUM($Y$4:Y74)</f>
        <v>932</v>
      </c>
      <c r="M74" s="46" t="s">
        <v>19</v>
      </c>
      <c r="N74" s="40" t="s">
        <v>6</v>
      </c>
      <c r="O74" s="40" t="s">
        <v>7</v>
      </c>
      <c r="P74" s="54">
        <v>699959</v>
      </c>
      <c r="Q74" s="41" t="s">
        <v>8</v>
      </c>
      <c r="R74" s="47">
        <v>22408</v>
      </c>
      <c r="S74" s="41" t="s">
        <v>8</v>
      </c>
      <c r="T74" s="48">
        <v>100000</v>
      </c>
      <c r="U74" s="48" t="s">
        <v>10</v>
      </c>
      <c r="V74" s="49">
        <v>5</v>
      </c>
      <c r="W74" s="48"/>
      <c r="X74" s="50">
        <f t="shared" si="23"/>
        <v>1.0151138599536289E-3</v>
      </c>
      <c r="Y74" s="51">
        <f t="shared" si="24"/>
        <v>1961</v>
      </c>
      <c r="Z74" s="96">
        <f t="shared" si="25"/>
        <v>9805</v>
      </c>
      <c r="AA74" s="68">
        <v>0</v>
      </c>
      <c r="AB74" s="75">
        <v>196100000</v>
      </c>
    </row>
    <row r="75" spans="1:28" x14ac:dyDescent="0.25">
      <c r="A75" s="40">
        <v>72</v>
      </c>
      <c r="B75" s="40">
        <v>1045</v>
      </c>
      <c r="C75" s="40">
        <v>2025</v>
      </c>
      <c r="D75" s="40">
        <v>12</v>
      </c>
      <c r="E75" s="59" t="s">
        <v>97</v>
      </c>
      <c r="F75" s="41">
        <v>6</v>
      </c>
      <c r="G75" s="42">
        <f t="shared" si="20"/>
        <v>1699069</v>
      </c>
      <c r="H75" s="42">
        <f>SUM($Y$4:Y75)</f>
        <v>1701029</v>
      </c>
      <c r="I75" s="43">
        <f t="shared" ref="I75:I111" si="26">J74</f>
        <v>1700</v>
      </c>
      <c r="J75" s="43">
        <f t="shared" si="21"/>
        <v>1702</v>
      </c>
      <c r="K75" s="44">
        <f t="shared" si="22"/>
        <v>1701.029</v>
      </c>
      <c r="L75" s="45">
        <f>+J75*1000-SUM($Y$4:Y75)</f>
        <v>971</v>
      </c>
      <c r="M75" s="46" t="s">
        <v>19</v>
      </c>
      <c r="N75" s="40" t="s">
        <v>6</v>
      </c>
      <c r="O75" s="40" t="s">
        <v>7</v>
      </c>
      <c r="P75" s="54">
        <v>1002073</v>
      </c>
      <c r="Q75" s="41" t="s">
        <v>8</v>
      </c>
      <c r="R75" s="47">
        <v>24410</v>
      </c>
      <c r="S75" s="41" t="s">
        <v>8</v>
      </c>
      <c r="T75" s="48">
        <v>100000</v>
      </c>
      <c r="U75" s="48" t="s">
        <v>10</v>
      </c>
      <c r="V75" s="49">
        <v>5</v>
      </c>
      <c r="W75" s="48"/>
      <c r="X75" s="50">
        <f t="shared" si="23"/>
        <v>1.0151138599536289E-3</v>
      </c>
      <c r="Y75" s="51">
        <f t="shared" si="24"/>
        <v>1961</v>
      </c>
      <c r="Z75" s="96">
        <f t="shared" si="25"/>
        <v>9805</v>
      </c>
      <c r="AA75" s="68">
        <v>0</v>
      </c>
      <c r="AB75" s="75">
        <v>196100000</v>
      </c>
    </row>
    <row r="76" spans="1:28" x14ac:dyDescent="0.25">
      <c r="A76" s="40">
        <v>73</v>
      </c>
      <c r="B76" s="40">
        <v>1045</v>
      </c>
      <c r="C76" s="40">
        <v>2025</v>
      </c>
      <c r="D76" s="40">
        <v>12</v>
      </c>
      <c r="E76" s="59" t="s">
        <v>121</v>
      </c>
      <c r="F76" s="41">
        <v>12</v>
      </c>
      <c r="G76" s="42">
        <f t="shared" si="20"/>
        <v>1701030</v>
      </c>
      <c r="H76" s="42">
        <f>SUM($Y$4:Y76)</f>
        <v>1702807</v>
      </c>
      <c r="I76" s="43">
        <f t="shared" si="26"/>
        <v>1702</v>
      </c>
      <c r="J76" s="43">
        <f t="shared" si="21"/>
        <v>1703</v>
      </c>
      <c r="K76" s="44">
        <f t="shared" si="22"/>
        <v>1702.807</v>
      </c>
      <c r="L76" s="45">
        <f>+J76*1000-SUM($Y$4:Y76)</f>
        <v>193</v>
      </c>
      <c r="M76" s="46" t="s">
        <v>125</v>
      </c>
      <c r="N76" s="40" t="s">
        <v>6</v>
      </c>
      <c r="O76" s="40" t="s">
        <v>7</v>
      </c>
      <c r="P76" s="54">
        <v>640587</v>
      </c>
      <c r="Q76" s="41" t="s">
        <v>8</v>
      </c>
      <c r="R76" s="47">
        <v>22408</v>
      </c>
      <c r="S76" s="41" t="s">
        <v>8</v>
      </c>
      <c r="T76" s="48">
        <v>100000</v>
      </c>
      <c r="U76" s="48" t="s">
        <v>10</v>
      </c>
      <c r="V76" s="49">
        <v>5</v>
      </c>
      <c r="W76" s="48"/>
      <c r="X76" s="50">
        <f t="shared" si="23"/>
        <v>9.2038370372134214E-4</v>
      </c>
      <c r="Y76" s="51">
        <f t="shared" si="24"/>
        <v>1778</v>
      </c>
      <c r="Z76" s="96">
        <f t="shared" si="25"/>
        <v>8890</v>
      </c>
      <c r="AA76" s="68">
        <v>0</v>
      </c>
      <c r="AB76" s="75">
        <v>177800000</v>
      </c>
    </row>
    <row r="77" spans="1:28" x14ac:dyDescent="0.25">
      <c r="A77" s="40">
        <v>74</v>
      </c>
      <c r="B77" s="40">
        <v>1045</v>
      </c>
      <c r="C77" s="40">
        <v>2025</v>
      </c>
      <c r="D77" s="40">
        <v>12</v>
      </c>
      <c r="E77" s="58" t="s">
        <v>165</v>
      </c>
      <c r="F77" s="41">
        <v>5</v>
      </c>
      <c r="G77" s="42">
        <f t="shared" si="20"/>
        <v>1702808</v>
      </c>
      <c r="H77" s="42">
        <f>SUM($Y$4:Y77)</f>
        <v>1704536</v>
      </c>
      <c r="I77" s="43">
        <f t="shared" si="26"/>
        <v>1703</v>
      </c>
      <c r="J77" s="43">
        <f t="shared" si="21"/>
        <v>1705</v>
      </c>
      <c r="K77" s="44">
        <f t="shared" si="22"/>
        <v>1704.5360000000001</v>
      </c>
      <c r="L77" s="45">
        <f>+J77*1000-SUM($Y$4:Y77)</f>
        <v>464</v>
      </c>
      <c r="M77" s="95" t="s">
        <v>225</v>
      </c>
      <c r="N77" s="40" t="s">
        <v>6</v>
      </c>
      <c r="O77" s="40" t="s">
        <v>7</v>
      </c>
      <c r="P77" s="54">
        <v>144606</v>
      </c>
      <c r="Q77" s="41" t="s">
        <v>8</v>
      </c>
      <c r="R77" s="47">
        <v>13683</v>
      </c>
      <c r="S77" s="41" t="s">
        <v>8</v>
      </c>
      <c r="T77" s="48">
        <v>100000</v>
      </c>
      <c r="U77" s="48" t="s">
        <v>10</v>
      </c>
      <c r="V77" s="49">
        <v>5</v>
      </c>
      <c r="W77" s="48"/>
      <c r="X77" s="50">
        <f t="shared" si="23"/>
        <v>8.9501879850067501E-4</v>
      </c>
      <c r="Y77" s="51">
        <f t="shared" si="24"/>
        <v>1728.9999999999993</v>
      </c>
      <c r="Z77" s="96">
        <f t="shared" si="25"/>
        <v>8644.9999999999964</v>
      </c>
      <c r="AA77" s="68">
        <v>0</v>
      </c>
      <c r="AB77" s="75">
        <v>172899999.99999994</v>
      </c>
    </row>
    <row r="78" spans="1:28" x14ac:dyDescent="0.25">
      <c r="A78" s="40">
        <v>75</v>
      </c>
      <c r="B78" s="40">
        <v>1045</v>
      </c>
      <c r="C78" s="40">
        <v>2025</v>
      </c>
      <c r="D78" s="40">
        <v>12</v>
      </c>
      <c r="E78" s="59" t="s">
        <v>103</v>
      </c>
      <c r="F78" s="41">
        <v>10</v>
      </c>
      <c r="G78" s="42">
        <f t="shared" si="20"/>
        <v>1704537</v>
      </c>
      <c r="H78" s="42">
        <f>SUM($Y$4:Y78)</f>
        <v>1706248</v>
      </c>
      <c r="I78" s="43">
        <f t="shared" si="26"/>
        <v>1705</v>
      </c>
      <c r="J78" s="43">
        <f t="shared" si="21"/>
        <v>1707</v>
      </c>
      <c r="K78" s="44">
        <f t="shared" si="22"/>
        <v>1706.248</v>
      </c>
      <c r="L78" s="45">
        <f>+J78*1000-SUM($Y$4:Y78)</f>
        <v>752</v>
      </c>
      <c r="M78" s="46" t="s">
        <v>23</v>
      </c>
      <c r="N78" s="40" t="s">
        <v>6</v>
      </c>
      <c r="O78" s="40" t="s">
        <v>7</v>
      </c>
      <c r="P78" s="54">
        <v>433576</v>
      </c>
      <c r="Q78" s="41" t="s">
        <v>8</v>
      </c>
      <c r="R78" s="47">
        <v>20601</v>
      </c>
      <c r="S78" s="41" t="s">
        <v>8</v>
      </c>
      <c r="T78" s="48">
        <v>100000</v>
      </c>
      <c r="U78" s="48" t="s">
        <v>10</v>
      </c>
      <c r="V78" s="49">
        <v>5</v>
      </c>
      <c r="W78" s="48"/>
      <c r="X78" s="50">
        <f t="shared" si="23"/>
        <v>8.8621872934248477E-4</v>
      </c>
      <c r="Y78" s="51">
        <f t="shared" si="24"/>
        <v>1712</v>
      </c>
      <c r="Z78" s="96">
        <f t="shared" si="25"/>
        <v>8560</v>
      </c>
      <c r="AA78" s="68">
        <v>0</v>
      </c>
      <c r="AB78" s="75">
        <f>161400000+9800000</f>
        <v>171200000</v>
      </c>
    </row>
    <row r="79" spans="1:28" x14ac:dyDescent="0.25">
      <c r="A79" s="40">
        <v>76</v>
      </c>
      <c r="B79" s="40">
        <v>1045</v>
      </c>
      <c r="C79" s="40">
        <v>2025</v>
      </c>
      <c r="D79" s="40">
        <v>12</v>
      </c>
      <c r="E79" s="59" t="s">
        <v>104</v>
      </c>
      <c r="F79" s="41">
        <v>10</v>
      </c>
      <c r="G79" s="42">
        <f t="shared" si="20"/>
        <v>1706249</v>
      </c>
      <c r="H79" s="42">
        <f>SUM($Y$4:Y79)</f>
        <v>1707960</v>
      </c>
      <c r="I79" s="43">
        <f t="shared" si="26"/>
        <v>1707</v>
      </c>
      <c r="J79" s="43">
        <f t="shared" si="21"/>
        <v>1708</v>
      </c>
      <c r="K79" s="44">
        <f t="shared" si="22"/>
        <v>1707.96</v>
      </c>
      <c r="L79" s="45">
        <f>+J79*1000-SUM($Y$4:Y79)</f>
        <v>40</v>
      </c>
      <c r="M79" s="46" t="s">
        <v>23</v>
      </c>
      <c r="N79" s="40" t="s">
        <v>6</v>
      </c>
      <c r="O79" s="40" t="s">
        <v>7</v>
      </c>
      <c r="P79" s="54">
        <v>433577</v>
      </c>
      <c r="Q79" s="41" t="s">
        <v>8</v>
      </c>
      <c r="R79" s="47">
        <v>21268</v>
      </c>
      <c r="S79" s="41" t="s">
        <v>8</v>
      </c>
      <c r="T79" s="48">
        <v>100000</v>
      </c>
      <c r="U79" s="48" t="s">
        <v>10</v>
      </c>
      <c r="V79" s="49">
        <v>5</v>
      </c>
      <c r="W79" s="48"/>
      <c r="X79" s="50">
        <f t="shared" si="23"/>
        <v>8.8621872934248477E-4</v>
      </c>
      <c r="Y79" s="51">
        <f t="shared" si="24"/>
        <v>1712</v>
      </c>
      <c r="Z79" s="96">
        <f t="shared" si="25"/>
        <v>8560</v>
      </c>
      <c r="AA79" s="68">
        <v>0</v>
      </c>
      <c r="AB79" s="75">
        <f>161400000+9800000</f>
        <v>171200000</v>
      </c>
    </row>
    <row r="80" spans="1:28" x14ac:dyDescent="0.25">
      <c r="A80" s="40">
        <v>77</v>
      </c>
      <c r="B80" s="40">
        <v>1045</v>
      </c>
      <c r="C80" s="40">
        <v>2025</v>
      </c>
      <c r="D80" s="40">
        <v>12</v>
      </c>
      <c r="E80" s="59" t="s">
        <v>105</v>
      </c>
      <c r="F80" s="41">
        <v>10</v>
      </c>
      <c r="G80" s="42">
        <f t="shared" si="20"/>
        <v>1707961</v>
      </c>
      <c r="H80" s="42">
        <f>SUM($Y$4:Y80)</f>
        <v>1709672</v>
      </c>
      <c r="I80" s="43">
        <f t="shared" si="26"/>
        <v>1708</v>
      </c>
      <c r="J80" s="43">
        <f t="shared" si="21"/>
        <v>1710</v>
      </c>
      <c r="K80" s="44">
        <f t="shared" si="22"/>
        <v>1709.672</v>
      </c>
      <c r="L80" s="45">
        <f>+J80*1000-SUM($Y$4:Y80)</f>
        <v>328</v>
      </c>
      <c r="M80" s="46" t="s">
        <v>24</v>
      </c>
      <c r="N80" s="40" t="s">
        <v>6</v>
      </c>
      <c r="O80" s="40" t="s">
        <v>7</v>
      </c>
      <c r="P80" s="54">
        <v>507343</v>
      </c>
      <c r="Q80" s="41" t="s">
        <v>8</v>
      </c>
      <c r="R80" s="47">
        <v>22151</v>
      </c>
      <c r="S80" s="41" t="s">
        <v>8</v>
      </c>
      <c r="T80" s="48">
        <v>100000</v>
      </c>
      <c r="U80" s="48" t="s">
        <v>10</v>
      </c>
      <c r="V80" s="49">
        <v>5</v>
      </c>
      <c r="W80" s="48"/>
      <c r="X80" s="50">
        <f t="shared" si="23"/>
        <v>8.8621872934248477E-4</v>
      </c>
      <c r="Y80" s="51">
        <f t="shared" si="24"/>
        <v>1712</v>
      </c>
      <c r="Z80" s="96">
        <f t="shared" si="25"/>
        <v>8560</v>
      </c>
      <c r="AA80" s="68">
        <v>0</v>
      </c>
      <c r="AB80" s="75">
        <f>161400000+9800000</f>
        <v>171200000</v>
      </c>
    </row>
    <row r="81" spans="1:28" x14ac:dyDescent="0.25">
      <c r="A81" s="40">
        <v>78</v>
      </c>
      <c r="B81" s="40">
        <v>1045</v>
      </c>
      <c r="C81" s="40">
        <v>2025</v>
      </c>
      <c r="D81" s="40">
        <v>12</v>
      </c>
      <c r="E81" s="59" t="s">
        <v>106</v>
      </c>
      <c r="F81" s="41">
        <v>10</v>
      </c>
      <c r="G81" s="42">
        <f t="shared" si="20"/>
        <v>1709673</v>
      </c>
      <c r="H81" s="42">
        <f>SUM($Y$4:Y81)</f>
        <v>1711384</v>
      </c>
      <c r="I81" s="43">
        <f t="shared" si="26"/>
        <v>1710</v>
      </c>
      <c r="J81" s="43">
        <f t="shared" si="21"/>
        <v>1712</v>
      </c>
      <c r="K81" s="44">
        <f t="shared" si="22"/>
        <v>1711.384</v>
      </c>
      <c r="L81" s="45">
        <f>+J81*1000-SUM($Y$4:Y81)</f>
        <v>616</v>
      </c>
      <c r="M81" s="46" t="s">
        <v>24</v>
      </c>
      <c r="N81" s="40" t="s">
        <v>6</v>
      </c>
      <c r="O81" s="40" t="s">
        <v>7</v>
      </c>
      <c r="P81" s="54">
        <v>423451</v>
      </c>
      <c r="Q81" s="41" t="s">
        <v>8</v>
      </c>
      <c r="R81" s="47">
        <v>19879</v>
      </c>
      <c r="S81" s="41" t="s">
        <v>8</v>
      </c>
      <c r="T81" s="48">
        <v>100000</v>
      </c>
      <c r="U81" s="48" t="s">
        <v>10</v>
      </c>
      <c r="V81" s="49">
        <v>5</v>
      </c>
      <c r="W81" s="48"/>
      <c r="X81" s="50">
        <f t="shared" si="23"/>
        <v>8.8621872934248477E-4</v>
      </c>
      <c r="Y81" s="51">
        <f t="shared" si="24"/>
        <v>1712</v>
      </c>
      <c r="Z81" s="96">
        <f t="shared" si="25"/>
        <v>8560</v>
      </c>
      <c r="AA81" s="68">
        <v>0</v>
      </c>
      <c r="AB81" s="75">
        <f>161400000+9800000</f>
        <v>171200000</v>
      </c>
    </row>
    <row r="82" spans="1:28" x14ac:dyDescent="0.25">
      <c r="A82" s="40">
        <v>79</v>
      </c>
      <c r="B82" s="40">
        <v>1045</v>
      </c>
      <c r="C82" s="40">
        <v>2025</v>
      </c>
      <c r="D82" s="40">
        <v>12</v>
      </c>
      <c r="E82" s="59" t="s">
        <v>107</v>
      </c>
      <c r="F82" s="41">
        <v>10</v>
      </c>
      <c r="G82" s="42">
        <f t="shared" si="20"/>
        <v>1711385</v>
      </c>
      <c r="H82" s="42">
        <f>SUM($Y$4:Y82)</f>
        <v>1713096</v>
      </c>
      <c r="I82" s="43">
        <f t="shared" si="26"/>
        <v>1712</v>
      </c>
      <c r="J82" s="43">
        <f t="shared" si="21"/>
        <v>1714</v>
      </c>
      <c r="K82" s="44">
        <f t="shared" si="22"/>
        <v>1713.096</v>
      </c>
      <c r="L82" s="45">
        <f>+J82*1000-SUM($Y$4:Y82)</f>
        <v>904</v>
      </c>
      <c r="M82" s="46" t="s">
        <v>24</v>
      </c>
      <c r="N82" s="40" t="s">
        <v>6</v>
      </c>
      <c r="O82" s="40" t="s">
        <v>7</v>
      </c>
      <c r="P82" s="54">
        <v>507669</v>
      </c>
      <c r="Q82" s="41" t="s">
        <v>8</v>
      </c>
      <c r="R82" s="47">
        <v>24142</v>
      </c>
      <c r="S82" s="41" t="s">
        <v>8</v>
      </c>
      <c r="T82" s="48">
        <v>100000</v>
      </c>
      <c r="U82" s="48" t="s">
        <v>10</v>
      </c>
      <c r="V82" s="49">
        <v>5</v>
      </c>
      <c r="W82" s="48"/>
      <c r="X82" s="50">
        <f t="shared" si="23"/>
        <v>8.8621872934248477E-4</v>
      </c>
      <c r="Y82" s="51">
        <f t="shared" si="24"/>
        <v>1712</v>
      </c>
      <c r="Z82" s="96">
        <f t="shared" si="25"/>
        <v>8560</v>
      </c>
      <c r="AA82" s="68">
        <v>0</v>
      </c>
      <c r="AB82" s="75">
        <f>161400000+9800000</f>
        <v>171200000</v>
      </c>
    </row>
    <row r="83" spans="1:28" x14ac:dyDescent="0.25">
      <c r="A83" s="40">
        <v>80</v>
      </c>
      <c r="B83" s="40">
        <v>1045</v>
      </c>
      <c r="C83" s="40">
        <v>2025</v>
      </c>
      <c r="D83" s="40">
        <v>12</v>
      </c>
      <c r="E83" s="99" t="s">
        <v>180</v>
      </c>
      <c r="F83" s="41">
        <v>0</v>
      </c>
      <c r="G83" s="42">
        <f t="shared" si="20"/>
        <v>1713097</v>
      </c>
      <c r="H83" s="42">
        <f>SUM($Y$4:Y83)</f>
        <v>1714607</v>
      </c>
      <c r="I83" s="43">
        <f t="shared" si="26"/>
        <v>1714</v>
      </c>
      <c r="J83" s="43">
        <f t="shared" si="21"/>
        <v>1715</v>
      </c>
      <c r="K83" s="44">
        <f t="shared" si="22"/>
        <v>1714.607</v>
      </c>
      <c r="L83" s="45">
        <f>+J83*1000-SUM($Y$4:Y83)</f>
        <v>393</v>
      </c>
      <c r="M83" s="46"/>
      <c r="N83" s="40" t="s">
        <v>6</v>
      </c>
      <c r="O83" s="40" t="s">
        <v>7</v>
      </c>
      <c r="P83" s="54">
        <v>2426892</v>
      </c>
      <c r="Q83" s="41" t="s">
        <v>8</v>
      </c>
      <c r="R83" s="47">
        <v>28262</v>
      </c>
      <c r="S83" s="41" t="s">
        <v>8</v>
      </c>
      <c r="T83" s="48">
        <v>100000</v>
      </c>
      <c r="U83" s="48" t="s">
        <v>10</v>
      </c>
      <c r="V83" s="49">
        <v>5</v>
      </c>
      <c r="W83" s="48"/>
      <c r="X83" s="50">
        <f t="shared" si="23"/>
        <v>7.8217085282505515E-4</v>
      </c>
      <c r="Y83" s="51">
        <f t="shared" si="24"/>
        <v>1511</v>
      </c>
      <c r="Z83" s="96">
        <f t="shared" si="25"/>
        <v>7555</v>
      </c>
      <c r="AA83" s="68">
        <v>0</v>
      </c>
      <c r="AB83" s="75">
        <f>142500000+8600000</f>
        <v>151100000</v>
      </c>
    </row>
    <row r="84" spans="1:28" x14ac:dyDescent="0.25">
      <c r="A84" s="40">
        <v>81</v>
      </c>
      <c r="B84" s="40">
        <v>1045</v>
      </c>
      <c r="C84" s="40">
        <v>2025</v>
      </c>
      <c r="D84" s="40">
        <v>12</v>
      </c>
      <c r="E84" s="59" t="s">
        <v>129</v>
      </c>
      <c r="F84" s="40">
        <v>1</v>
      </c>
      <c r="G84" s="42">
        <f t="shared" si="20"/>
        <v>1714608</v>
      </c>
      <c r="H84" s="42">
        <f>SUM($Y$4:Y84)</f>
        <v>1716021</v>
      </c>
      <c r="I84" s="43">
        <f t="shared" si="26"/>
        <v>1715</v>
      </c>
      <c r="J84" s="43">
        <f t="shared" si="21"/>
        <v>1717</v>
      </c>
      <c r="K84" s="44">
        <f t="shared" si="22"/>
        <v>1716.021</v>
      </c>
      <c r="L84" s="45">
        <f>+J84*1000-SUM($Y$4:Y84)</f>
        <v>979</v>
      </c>
      <c r="M84" s="46" t="s">
        <v>135</v>
      </c>
      <c r="N84" s="40" t="s">
        <v>6</v>
      </c>
      <c r="O84" s="40" t="s">
        <v>7</v>
      </c>
      <c r="P84" s="54">
        <v>1214076</v>
      </c>
      <c r="Q84" s="41" t="s">
        <v>8</v>
      </c>
      <c r="R84" s="47">
        <v>28504</v>
      </c>
      <c r="S84" s="41" t="s">
        <v>8</v>
      </c>
      <c r="T84" s="48">
        <v>100000</v>
      </c>
      <c r="U84" s="48" t="s">
        <v>10</v>
      </c>
      <c r="V84" s="49">
        <v>5</v>
      </c>
      <c r="W84" s="81"/>
      <c r="X84" s="50">
        <f t="shared" si="23"/>
        <v>7.3195869351067369E-4</v>
      </c>
      <c r="Y84" s="51">
        <f t="shared" si="24"/>
        <v>1414</v>
      </c>
      <c r="Z84" s="96">
        <f t="shared" si="25"/>
        <v>7070</v>
      </c>
      <c r="AA84" s="68">
        <v>0</v>
      </c>
      <c r="AB84" s="75">
        <f>133300000+8100000</f>
        <v>141400000</v>
      </c>
    </row>
    <row r="85" spans="1:28" x14ac:dyDescent="0.25">
      <c r="A85" s="40">
        <v>82</v>
      </c>
      <c r="B85" s="40">
        <v>1045</v>
      </c>
      <c r="C85" s="40">
        <v>2025</v>
      </c>
      <c r="D85" s="40">
        <v>12</v>
      </c>
      <c r="E85" s="58" t="s">
        <v>166</v>
      </c>
      <c r="F85" s="41">
        <v>4</v>
      </c>
      <c r="G85" s="42">
        <f t="shared" si="20"/>
        <v>1716022</v>
      </c>
      <c r="H85" s="42">
        <f>SUM($Y$4:Y85)</f>
        <v>1717180</v>
      </c>
      <c r="I85" s="43">
        <f t="shared" si="26"/>
        <v>1717</v>
      </c>
      <c r="J85" s="43">
        <f t="shared" si="21"/>
        <v>1718</v>
      </c>
      <c r="K85" s="44">
        <f t="shared" si="22"/>
        <v>1717.18</v>
      </c>
      <c r="L85" s="45">
        <f>+J85*1000-SUM($Y$4:Y85)</f>
        <v>820</v>
      </c>
      <c r="M85" s="46" t="s">
        <v>29</v>
      </c>
      <c r="N85" s="40" t="s">
        <v>6</v>
      </c>
      <c r="O85" s="40" t="s">
        <v>7</v>
      </c>
      <c r="P85" s="54">
        <v>515224</v>
      </c>
      <c r="Q85" s="41" t="s">
        <v>8</v>
      </c>
      <c r="R85" s="47">
        <v>20061</v>
      </c>
      <c r="S85" s="41" t="s">
        <v>8</v>
      </c>
      <c r="T85" s="48">
        <v>100000</v>
      </c>
      <c r="U85" s="48" t="s">
        <v>10</v>
      </c>
      <c r="V85" s="49">
        <v>5</v>
      </c>
      <c r="W85" s="48"/>
      <c r="X85" s="50">
        <f t="shared" si="23"/>
        <v>5.9995765613781533E-4</v>
      </c>
      <c r="Y85" s="51">
        <f t="shared" si="24"/>
        <v>1159</v>
      </c>
      <c r="Z85" s="96">
        <f t="shared" si="25"/>
        <v>5795</v>
      </c>
      <c r="AA85" s="68">
        <v>0</v>
      </c>
      <c r="AB85" s="75">
        <f>112900000+3000000</f>
        <v>115900000</v>
      </c>
    </row>
    <row r="86" spans="1:28" x14ac:dyDescent="0.25">
      <c r="A86" s="40">
        <v>83</v>
      </c>
      <c r="B86" s="40">
        <v>1045</v>
      </c>
      <c r="C86" s="40">
        <v>2025</v>
      </c>
      <c r="D86" s="40">
        <v>12</v>
      </c>
      <c r="E86" s="58" t="s">
        <v>231</v>
      </c>
      <c r="F86" s="41"/>
      <c r="G86" s="42">
        <f t="shared" si="20"/>
        <v>1717181</v>
      </c>
      <c r="H86" s="42">
        <f>SUM($Y$4:Y86)</f>
        <v>1718318</v>
      </c>
      <c r="I86" s="43">
        <f t="shared" si="26"/>
        <v>1718</v>
      </c>
      <c r="J86" s="43">
        <f t="shared" si="21"/>
        <v>1719</v>
      </c>
      <c r="K86" s="44">
        <f t="shared" si="22"/>
        <v>1718.318</v>
      </c>
      <c r="L86" s="45">
        <f>+J86*1000-SUM($Y$4:Y86)</f>
        <v>682</v>
      </c>
      <c r="M86" s="46"/>
      <c r="N86" s="40" t="s">
        <v>6</v>
      </c>
      <c r="O86" s="40" t="s">
        <v>7</v>
      </c>
      <c r="P86" s="54">
        <v>4762305</v>
      </c>
      <c r="Q86" s="41" t="s">
        <v>8</v>
      </c>
      <c r="R86" s="47">
        <v>36959</v>
      </c>
      <c r="S86" s="41" t="s">
        <v>8</v>
      </c>
      <c r="T86" s="48">
        <v>100000</v>
      </c>
      <c r="U86" s="48" t="s">
        <v>10</v>
      </c>
      <c r="V86" s="49">
        <v>5</v>
      </c>
      <c r="W86" s="48"/>
      <c r="X86" s="50">
        <f t="shared" si="23"/>
        <v>5.8908698247181522E-4</v>
      </c>
      <c r="Y86" s="51">
        <f t="shared" si="24"/>
        <v>1138</v>
      </c>
      <c r="Z86" s="96">
        <f t="shared" si="25"/>
        <v>5690</v>
      </c>
      <c r="AA86" s="68">
        <v>0</v>
      </c>
      <c r="AB86" s="75">
        <v>113800000</v>
      </c>
    </row>
    <row r="87" spans="1:28" x14ac:dyDescent="0.25">
      <c r="A87" s="40">
        <v>84</v>
      </c>
      <c r="B87" s="40">
        <v>1045</v>
      </c>
      <c r="C87" s="40">
        <v>2025</v>
      </c>
      <c r="D87" s="40">
        <v>12</v>
      </c>
      <c r="E87" s="59" t="s">
        <v>138</v>
      </c>
      <c r="F87" s="41">
        <v>0</v>
      </c>
      <c r="G87" s="42">
        <f t="shared" si="20"/>
        <v>1718319</v>
      </c>
      <c r="H87" s="42">
        <f>SUM($Y$4:Y87)</f>
        <v>1719376</v>
      </c>
      <c r="I87" s="43">
        <f t="shared" si="26"/>
        <v>1719</v>
      </c>
      <c r="J87" s="43">
        <f t="shared" si="21"/>
        <v>1720</v>
      </c>
      <c r="K87" s="44">
        <f t="shared" si="22"/>
        <v>1719.376</v>
      </c>
      <c r="L87" s="45">
        <f>+J87*1000-SUM($Y$4:Y87)</f>
        <v>624</v>
      </c>
      <c r="M87" s="46"/>
      <c r="N87" s="40" t="s">
        <v>6</v>
      </c>
      <c r="O87" s="40" t="s">
        <v>7</v>
      </c>
      <c r="P87" s="56">
        <v>3759025</v>
      </c>
      <c r="Q87" s="41" t="s">
        <v>8</v>
      </c>
      <c r="R87" s="47">
        <v>30577</v>
      </c>
      <c r="S87" s="41" t="s">
        <v>8</v>
      </c>
      <c r="T87" s="48">
        <v>100000</v>
      </c>
      <c r="U87" s="48" t="s">
        <v>10</v>
      </c>
      <c r="V87" s="49">
        <v>5</v>
      </c>
      <c r="W87" s="48"/>
      <c r="X87" s="50">
        <f t="shared" si="23"/>
        <v>5.4767489231562433E-4</v>
      </c>
      <c r="Y87" s="51">
        <f t="shared" si="24"/>
        <v>1058</v>
      </c>
      <c r="Z87" s="96">
        <f t="shared" si="25"/>
        <v>5290</v>
      </c>
      <c r="AA87" s="68">
        <v>0</v>
      </c>
      <c r="AB87" s="75">
        <f>94300000+11500000</f>
        <v>105800000</v>
      </c>
    </row>
    <row r="88" spans="1:28" x14ac:dyDescent="0.25">
      <c r="A88" s="40">
        <v>85</v>
      </c>
      <c r="B88" s="40">
        <v>1045</v>
      </c>
      <c r="C88" s="40">
        <v>2025</v>
      </c>
      <c r="D88" s="40">
        <v>12</v>
      </c>
      <c r="E88" s="58" t="s">
        <v>167</v>
      </c>
      <c r="F88" s="41">
        <v>0</v>
      </c>
      <c r="G88" s="42">
        <f t="shared" si="20"/>
        <v>1719377</v>
      </c>
      <c r="H88" s="42">
        <f>SUM($Y$4:Y88)</f>
        <v>1720321</v>
      </c>
      <c r="I88" s="43">
        <f t="shared" si="26"/>
        <v>1720</v>
      </c>
      <c r="J88" s="43">
        <f t="shared" si="21"/>
        <v>1721</v>
      </c>
      <c r="K88" s="44">
        <f t="shared" si="22"/>
        <v>1720.3209999999999</v>
      </c>
      <c r="L88" s="45">
        <f>+J88*1000-SUM($Y$4:Y88)</f>
        <v>679</v>
      </c>
      <c r="M88" s="46"/>
      <c r="N88" s="40" t="s">
        <v>6</v>
      </c>
      <c r="O88" s="40" t="s">
        <v>7</v>
      </c>
      <c r="P88" s="54">
        <v>802257</v>
      </c>
      <c r="Q88" s="41" t="s">
        <v>8</v>
      </c>
      <c r="R88" s="47">
        <v>23061</v>
      </c>
      <c r="S88" s="41" t="s">
        <v>8</v>
      </c>
      <c r="T88" s="48">
        <v>100000</v>
      </c>
      <c r="U88" s="48" t="s">
        <v>10</v>
      </c>
      <c r="V88" s="49">
        <v>5</v>
      </c>
      <c r="W88" s="48"/>
      <c r="X88" s="50">
        <f t="shared" si="23"/>
        <v>4.891803149700047E-4</v>
      </c>
      <c r="Y88" s="51">
        <f t="shared" si="24"/>
        <v>945</v>
      </c>
      <c r="Z88" s="96">
        <f t="shared" si="25"/>
        <v>4725</v>
      </c>
      <c r="AA88" s="68">
        <v>0</v>
      </c>
      <c r="AB88" s="75">
        <v>94500000</v>
      </c>
    </row>
    <row r="89" spans="1:28" x14ac:dyDescent="0.25">
      <c r="A89" s="40">
        <v>86</v>
      </c>
      <c r="B89" s="40">
        <v>1045</v>
      </c>
      <c r="C89" s="40">
        <v>2025</v>
      </c>
      <c r="D89" s="40">
        <v>12</v>
      </c>
      <c r="E89" s="58" t="s">
        <v>168</v>
      </c>
      <c r="F89" s="41">
        <v>0</v>
      </c>
      <c r="G89" s="42">
        <f t="shared" si="20"/>
        <v>1720322</v>
      </c>
      <c r="H89" s="42">
        <f>SUM($Y$4:Y89)</f>
        <v>1721260</v>
      </c>
      <c r="I89" s="43">
        <f t="shared" si="26"/>
        <v>1721</v>
      </c>
      <c r="J89" s="43">
        <f t="shared" si="21"/>
        <v>1722</v>
      </c>
      <c r="K89" s="44">
        <f t="shared" si="22"/>
        <v>1721.26</v>
      </c>
      <c r="L89" s="45">
        <f>+J89*1000-SUM($Y$4:Y89)</f>
        <v>740</v>
      </c>
      <c r="M89" s="46"/>
      <c r="N89" s="40" t="s">
        <v>6</v>
      </c>
      <c r="O89" s="40" t="s">
        <v>7</v>
      </c>
      <c r="P89" s="54">
        <v>1919235</v>
      </c>
      <c r="Q89" s="41" t="s">
        <v>8</v>
      </c>
      <c r="R89" s="47">
        <v>30587</v>
      </c>
      <c r="S89" s="41" t="s">
        <v>8</v>
      </c>
      <c r="T89" s="48">
        <v>100000</v>
      </c>
      <c r="U89" s="48" t="s">
        <v>10</v>
      </c>
      <c r="V89" s="49">
        <v>5</v>
      </c>
      <c r="W89" s="48"/>
      <c r="X89" s="50">
        <f t="shared" si="23"/>
        <v>4.8607440820829033E-4</v>
      </c>
      <c r="Y89" s="51">
        <f t="shared" si="24"/>
        <v>938.99999999999989</v>
      </c>
      <c r="Z89" s="96">
        <f t="shared" si="25"/>
        <v>4694.9999999999991</v>
      </c>
      <c r="AA89" s="68">
        <v>0</v>
      </c>
      <c r="AB89" s="75">
        <v>93899999.999999985</v>
      </c>
    </row>
    <row r="90" spans="1:28" x14ac:dyDescent="0.25">
      <c r="A90" s="40">
        <v>87</v>
      </c>
      <c r="B90" s="40">
        <v>1045</v>
      </c>
      <c r="C90" s="40">
        <v>2025</v>
      </c>
      <c r="D90" s="40">
        <v>12</v>
      </c>
      <c r="E90" s="58" t="s">
        <v>169</v>
      </c>
      <c r="F90" s="41">
        <v>13</v>
      </c>
      <c r="G90" s="42">
        <f t="shared" si="20"/>
        <v>1721261</v>
      </c>
      <c r="H90" s="42">
        <f>SUM($Y$4:Y90)</f>
        <v>1722109</v>
      </c>
      <c r="I90" s="43">
        <f t="shared" si="26"/>
        <v>1722</v>
      </c>
      <c r="J90" s="43">
        <f t="shared" si="21"/>
        <v>1723</v>
      </c>
      <c r="K90" s="44">
        <f t="shared" si="22"/>
        <v>1722.1089999999999</v>
      </c>
      <c r="L90" s="45">
        <f>+J90*1000-SUM($Y$4:Y90)</f>
        <v>891</v>
      </c>
      <c r="M90" s="46" t="s">
        <v>68</v>
      </c>
      <c r="N90" s="40" t="s">
        <v>6</v>
      </c>
      <c r="O90" s="40" t="s">
        <v>7</v>
      </c>
      <c r="P90" s="80">
        <v>2325476</v>
      </c>
      <c r="Q90" s="41" t="s">
        <v>8</v>
      </c>
      <c r="R90" s="47">
        <v>32310</v>
      </c>
      <c r="S90" s="41" t="s">
        <v>8</v>
      </c>
      <c r="T90" s="48">
        <v>100000</v>
      </c>
      <c r="U90" s="48" t="s">
        <v>10</v>
      </c>
      <c r="V90" s="49">
        <v>5</v>
      </c>
      <c r="W90" s="48"/>
      <c r="X90" s="50">
        <f t="shared" si="23"/>
        <v>4.3948580678257579E-4</v>
      </c>
      <c r="Y90" s="51">
        <f t="shared" si="24"/>
        <v>849.00000000000034</v>
      </c>
      <c r="Z90" s="96">
        <f t="shared" si="25"/>
        <v>4245.0000000000018</v>
      </c>
      <c r="AA90" s="68">
        <v>0</v>
      </c>
      <c r="AB90" s="75">
        <v>84900000.00000003</v>
      </c>
    </row>
    <row r="91" spans="1:28" x14ac:dyDescent="0.25">
      <c r="A91" s="88">
        <v>88</v>
      </c>
      <c r="B91" s="40">
        <v>1045</v>
      </c>
      <c r="C91" s="40">
        <v>2025</v>
      </c>
      <c r="D91" s="40">
        <v>12</v>
      </c>
      <c r="E91" s="58" t="s">
        <v>171</v>
      </c>
      <c r="F91" s="41">
        <v>0</v>
      </c>
      <c r="G91" s="42">
        <f t="shared" si="20"/>
        <v>1722110</v>
      </c>
      <c r="H91" s="42">
        <f>SUM($Y$4:Y91)</f>
        <v>1722944</v>
      </c>
      <c r="I91" s="43">
        <f t="shared" si="26"/>
        <v>1723</v>
      </c>
      <c r="J91" s="43">
        <f t="shared" si="21"/>
        <v>1723</v>
      </c>
      <c r="K91" s="44">
        <f t="shared" si="22"/>
        <v>1722.944</v>
      </c>
      <c r="L91" s="45">
        <f>+J91*1000-SUM($Y$4:Y91)</f>
        <v>56</v>
      </c>
      <c r="M91" s="46"/>
      <c r="N91" s="40" t="s">
        <v>6</v>
      </c>
      <c r="O91" s="40" t="s">
        <v>7</v>
      </c>
      <c r="P91" s="54">
        <v>1265717</v>
      </c>
      <c r="Q91" s="41" t="s">
        <v>8</v>
      </c>
      <c r="R91" s="47">
        <v>27072</v>
      </c>
      <c r="S91" s="41" t="s">
        <v>8</v>
      </c>
      <c r="T91" s="48">
        <v>100000</v>
      </c>
      <c r="U91" s="48" t="s">
        <v>10</v>
      </c>
      <c r="V91" s="49">
        <v>5</v>
      </c>
      <c r="W91" s="48"/>
      <c r="X91" s="50">
        <f t="shared" si="23"/>
        <v>4.3223869100524227E-4</v>
      </c>
      <c r="Y91" s="51">
        <f t="shared" si="24"/>
        <v>835</v>
      </c>
      <c r="Z91" s="96">
        <f t="shared" si="25"/>
        <v>4175</v>
      </c>
      <c r="AA91" s="68">
        <v>0</v>
      </c>
      <c r="AB91" s="75">
        <f>78500000+5000000</f>
        <v>83500000</v>
      </c>
    </row>
    <row r="92" spans="1:28" x14ac:dyDescent="0.25">
      <c r="A92" s="88">
        <v>89</v>
      </c>
      <c r="B92" s="40">
        <v>1045</v>
      </c>
      <c r="C92" s="40">
        <v>2025</v>
      </c>
      <c r="D92" s="40">
        <v>12</v>
      </c>
      <c r="E92" s="59" t="s">
        <v>143</v>
      </c>
      <c r="F92" s="41">
        <v>0</v>
      </c>
      <c r="G92" s="42">
        <f t="shared" si="20"/>
        <v>1722945</v>
      </c>
      <c r="H92" s="42">
        <f>SUM($Y$4:Y92)</f>
        <v>1723779</v>
      </c>
      <c r="I92" s="43">
        <f t="shared" si="26"/>
        <v>1723</v>
      </c>
      <c r="J92" s="43">
        <f t="shared" si="21"/>
        <v>1724</v>
      </c>
      <c r="K92" s="44">
        <f t="shared" si="22"/>
        <v>1723.779</v>
      </c>
      <c r="L92" s="45">
        <f>+J92*1000-SUM($Y$4:Y92)</f>
        <v>221</v>
      </c>
      <c r="M92" s="46"/>
      <c r="N92" s="40" t="s">
        <v>6</v>
      </c>
      <c r="O92" s="40" t="s">
        <v>7</v>
      </c>
      <c r="P92" s="54">
        <v>4366731</v>
      </c>
      <c r="Q92" s="41" t="s">
        <v>8</v>
      </c>
      <c r="R92" s="47">
        <v>31998</v>
      </c>
      <c r="S92" s="41" t="s">
        <v>8</v>
      </c>
      <c r="T92" s="48">
        <v>100000</v>
      </c>
      <c r="U92" s="48" t="s">
        <v>10</v>
      </c>
      <c r="V92" s="49">
        <v>5</v>
      </c>
      <c r="W92" s="48"/>
      <c r="X92" s="50">
        <f t="shared" si="23"/>
        <v>4.3223869100524227E-4</v>
      </c>
      <c r="Y92" s="51">
        <f t="shared" si="24"/>
        <v>835</v>
      </c>
      <c r="Z92" s="96">
        <f t="shared" si="25"/>
        <v>4175</v>
      </c>
      <c r="AA92" s="68">
        <v>0</v>
      </c>
      <c r="AB92" s="75">
        <f>78500000+5000000</f>
        <v>83500000</v>
      </c>
    </row>
    <row r="93" spans="1:28" x14ac:dyDescent="0.25">
      <c r="A93" s="40">
        <v>90</v>
      </c>
      <c r="B93" s="40">
        <v>1045</v>
      </c>
      <c r="C93" s="40">
        <v>2025</v>
      </c>
      <c r="D93" s="40">
        <v>12</v>
      </c>
      <c r="E93" s="58" t="s">
        <v>170</v>
      </c>
      <c r="F93" s="41">
        <v>0</v>
      </c>
      <c r="G93" s="42">
        <f t="shared" si="20"/>
        <v>1723780</v>
      </c>
      <c r="H93" s="42">
        <f>SUM($Y$4:Y93)</f>
        <v>1724601</v>
      </c>
      <c r="I93" s="43">
        <f t="shared" si="26"/>
        <v>1724</v>
      </c>
      <c r="J93" s="43">
        <f t="shared" si="21"/>
        <v>1725</v>
      </c>
      <c r="K93" s="44">
        <f t="shared" si="22"/>
        <v>1724.6010000000001</v>
      </c>
      <c r="L93" s="45">
        <f>+J93*1000-SUM($Y$4:Y93)</f>
        <v>399</v>
      </c>
      <c r="M93" s="46"/>
      <c r="N93" s="40" t="s">
        <v>6</v>
      </c>
      <c r="O93" s="40" t="s">
        <v>7</v>
      </c>
      <c r="P93" s="54">
        <v>127863</v>
      </c>
      <c r="Q93" s="41" t="s">
        <v>8</v>
      </c>
      <c r="R93" s="47">
        <v>13420</v>
      </c>
      <c r="S93" s="41" t="s">
        <v>8</v>
      </c>
      <c r="T93" s="48">
        <v>100000</v>
      </c>
      <c r="U93" s="48" t="s">
        <v>10</v>
      </c>
      <c r="V93" s="49">
        <v>5</v>
      </c>
      <c r="W93" s="48"/>
      <c r="X93" s="50">
        <f t="shared" si="23"/>
        <v>4.2550922635486125E-4</v>
      </c>
      <c r="Y93" s="51">
        <f t="shared" si="24"/>
        <v>822</v>
      </c>
      <c r="Z93" s="96">
        <f t="shared" si="25"/>
        <v>4110</v>
      </c>
      <c r="AA93" s="68">
        <v>0</v>
      </c>
      <c r="AB93" s="75">
        <v>82200000</v>
      </c>
    </row>
    <row r="94" spans="1:28" x14ac:dyDescent="0.25">
      <c r="A94" s="40">
        <v>91</v>
      </c>
      <c r="B94" s="40">
        <v>1045</v>
      </c>
      <c r="C94" s="40">
        <v>2025</v>
      </c>
      <c r="D94" s="40">
        <v>12</v>
      </c>
      <c r="E94" s="59" t="s">
        <v>144</v>
      </c>
      <c r="F94" s="41">
        <v>0</v>
      </c>
      <c r="G94" s="42">
        <f t="shared" si="20"/>
        <v>1724602</v>
      </c>
      <c r="H94" s="42">
        <f>SUM($Y$4:Y94)</f>
        <v>1725324</v>
      </c>
      <c r="I94" s="43">
        <f t="shared" si="26"/>
        <v>1725</v>
      </c>
      <c r="J94" s="43">
        <f t="shared" si="21"/>
        <v>1726</v>
      </c>
      <c r="K94" s="44">
        <f t="shared" si="22"/>
        <v>1725.3240000000001</v>
      </c>
      <c r="L94" s="45">
        <f>+J94*1000-SUM($Y$4:Y94)</f>
        <v>676</v>
      </c>
      <c r="M94" s="46"/>
      <c r="N94" s="40" t="s">
        <v>6</v>
      </c>
      <c r="O94" s="40" t="s">
        <v>7</v>
      </c>
      <c r="P94" s="54">
        <v>3638671</v>
      </c>
      <c r="Q94" s="41" t="s">
        <v>8</v>
      </c>
      <c r="R94" s="47">
        <v>30855</v>
      </c>
      <c r="S94" s="41" t="s">
        <v>8</v>
      </c>
      <c r="T94" s="48">
        <v>100000</v>
      </c>
      <c r="U94" s="48" t="s">
        <v>10</v>
      </c>
      <c r="V94" s="49">
        <v>5</v>
      </c>
      <c r="W94" s="48"/>
      <c r="X94" s="50">
        <f t="shared" si="23"/>
        <v>3.7426176478657503E-4</v>
      </c>
      <c r="Y94" s="51">
        <f t="shared" si="24"/>
        <v>723</v>
      </c>
      <c r="Z94" s="96">
        <f t="shared" si="25"/>
        <v>3615</v>
      </c>
      <c r="AA94" s="68">
        <v>0</v>
      </c>
      <c r="AB94" s="75">
        <f>67600000+4700000</f>
        <v>72300000</v>
      </c>
    </row>
    <row r="95" spans="1:28" x14ac:dyDescent="0.25">
      <c r="A95" s="40">
        <v>92</v>
      </c>
      <c r="B95" s="40">
        <v>1045</v>
      </c>
      <c r="C95" s="40">
        <v>2025</v>
      </c>
      <c r="D95" s="40">
        <v>12</v>
      </c>
      <c r="E95" s="59" t="s">
        <v>139</v>
      </c>
      <c r="F95" s="41">
        <v>14</v>
      </c>
      <c r="G95" s="42">
        <f t="shared" si="20"/>
        <v>1725325</v>
      </c>
      <c r="H95" s="42">
        <f>SUM($Y$4:Y95)</f>
        <v>1725968</v>
      </c>
      <c r="I95" s="43">
        <f t="shared" si="26"/>
        <v>1726</v>
      </c>
      <c r="J95" s="43">
        <f t="shared" si="21"/>
        <v>1726</v>
      </c>
      <c r="K95" s="44">
        <f t="shared" si="22"/>
        <v>1725.9680000000001</v>
      </c>
      <c r="L95" s="45">
        <f>+J95*1000-SUM($Y$4:Y95)</f>
        <v>32</v>
      </c>
      <c r="M95" s="46" t="s">
        <v>226</v>
      </c>
      <c r="N95" s="40" t="s">
        <v>6</v>
      </c>
      <c r="O95" s="40" t="s">
        <v>7</v>
      </c>
      <c r="P95" s="54">
        <v>430269</v>
      </c>
      <c r="Q95" s="41" t="s">
        <v>8</v>
      </c>
      <c r="R95" s="47">
        <v>20997</v>
      </c>
      <c r="S95" s="41" t="s">
        <v>8</v>
      </c>
      <c r="T95" s="48">
        <v>100000</v>
      </c>
      <c r="U95" s="48" t="s">
        <v>10</v>
      </c>
      <c r="V95" s="49">
        <v>5</v>
      </c>
      <c r="W95" s="48"/>
      <c r="X95" s="50">
        <f t="shared" si="23"/>
        <v>3.3336732575733652E-4</v>
      </c>
      <c r="Y95" s="51">
        <f t="shared" si="24"/>
        <v>644</v>
      </c>
      <c r="Z95" s="96">
        <f t="shared" si="25"/>
        <v>3220</v>
      </c>
      <c r="AA95" s="68">
        <v>0</v>
      </c>
      <c r="AB95" s="75">
        <v>64400000</v>
      </c>
    </row>
    <row r="96" spans="1:28" x14ac:dyDescent="0.25">
      <c r="A96" s="40">
        <v>93</v>
      </c>
      <c r="B96" s="40">
        <v>1045</v>
      </c>
      <c r="C96" s="40">
        <v>2025</v>
      </c>
      <c r="D96" s="40">
        <v>12</v>
      </c>
      <c r="E96" s="58" t="s">
        <v>173</v>
      </c>
      <c r="F96" s="41">
        <v>0</v>
      </c>
      <c r="G96" s="42">
        <f t="shared" si="20"/>
        <v>1725969</v>
      </c>
      <c r="H96" s="42">
        <f>SUM($Y$4:Y96)</f>
        <v>1726599</v>
      </c>
      <c r="I96" s="43">
        <f t="shared" si="26"/>
        <v>1726</v>
      </c>
      <c r="J96" s="43">
        <f t="shared" si="21"/>
        <v>1727</v>
      </c>
      <c r="K96" s="44">
        <f t="shared" si="22"/>
        <v>1726.5989999999999</v>
      </c>
      <c r="L96" s="45">
        <f>+J96*1000-SUM($Y$4:Y96)</f>
        <v>401</v>
      </c>
      <c r="M96" s="46"/>
      <c r="N96" s="40" t="s">
        <v>6</v>
      </c>
      <c r="O96" s="40" t="s">
        <v>7</v>
      </c>
      <c r="P96" s="54">
        <v>716735</v>
      </c>
      <c r="Q96" s="41" t="s">
        <v>8</v>
      </c>
      <c r="R96" s="47">
        <v>24948</v>
      </c>
      <c r="S96" s="41" t="s">
        <v>8</v>
      </c>
      <c r="T96" s="48">
        <v>100000</v>
      </c>
      <c r="U96" s="48" t="s">
        <v>10</v>
      </c>
      <c r="V96" s="49">
        <v>5</v>
      </c>
      <c r="W96" s="48"/>
      <c r="X96" s="50">
        <f t="shared" si="23"/>
        <v>3.266378611069555E-4</v>
      </c>
      <c r="Y96" s="51">
        <f t="shared" si="24"/>
        <v>631</v>
      </c>
      <c r="Z96" s="96">
        <f t="shared" si="25"/>
        <v>3155</v>
      </c>
      <c r="AA96" s="68">
        <v>0</v>
      </c>
      <c r="AB96" s="75">
        <f>59400000+3700000</f>
        <v>63100000</v>
      </c>
    </row>
    <row r="97" spans="1:28" x14ac:dyDescent="0.25">
      <c r="A97" s="40">
        <v>94</v>
      </c>
      <c r="B97" s="40">
        <v>1045</v>
      </c>
      <c r="C97" s="40">
        <v>2025</v>
      </c>
      <c r="D97" s="40">
        <v>12</v>
      </c>
      <c r="E97" s="59" t="s">
        <v>113</v>
      </c>
      <c r="F97" s="41">
        <v>14</v>
      </c>
      <c r="G97" s="42">
        <f t="shared" si="20"/>
        <v>1726600</v>
      </c>
      <c r="H97" s="42">
        <f>SUM($Y$4:Y97)</f>
        <v>1727211</v>
      </c>
      <c r="I97" s="43">
        <f t="shared" si="26"/>
        <v>1727</v>
      </c>
      <c r="J97" s="43">
        <f t="shared" si="21"/>
        <v>1728</v>
      </c>
      <c r="K97" s="44">
        <f t="shared" si="22"/>
        <v>1727.211</v>
      </c>
      <c r="L97" s="45">
        <f>+J97*1000-SUM($Y$4:Y97)</f>
        <v>789</v>
      </c>
      <c r="M97" s="46" t="s">
        <v>227</v>
      </c>
      <c r="N97" s="40" t="s">
        <v>6</v>
      </c>
      <c r="O97" s="40" t="s">
        <v>7</v>
      </c>
      <c r="P97" s="54">
        <v>631294</v>
      </c>
      <c r="Q97" s="41" t="s">
        <v>8</v>
      </c>
      <c r="R97" s="47">
        <v>21822</v>
      </c>
      <c r="S97" s="41" t="s">
        <v>8</v>
      </c>
      <c r="T97" s="48">
        <v>100000</v>
      </c>
      <c r="U97" s="48" t="s">
        <v>10</v>
      </c>
      <c r="V97" s="49">
        <v>5</v>
      </c>
      <c r="W97" s="48"/>
      <c r="X97" s="50">
        <f t="shared" si="23"/>
        <v>3.1680248969486022E-4</v>
      </c>
      <c r="Y97" s="51">
        <f t="shared" si="24"/>
        <v>612</v>
      </c>
      <c r="Z97" s="96">
        <f t="shared" si="25"/>
        <v>3060</v>
      </c>
      <c r="AA97" s="68">
        <v>0</v>
      </c>
      <c r="AB97" s="75">
        <v>61200000</v>
      </c>
    </row>
    <row r="98" spans="1:28" x14ac:dyDescent="0.25">
      <c r="A98" s="40">
        <v>95</v>
      </c>
      <c r="B98" s="40">
        <v>1045</v>
      </c>
      <c r="C98" s="40">
        <v>2025</v>
      </c>
      <c r="D98" s="40">
        <v>12</v>
      </c>
      <c r="E98" s="59" t="s">
        <v>140</v>
      </c>
      <c r="F98" s="41">
        <v>14</v>
      </c>
      <c r="G98" s="42">
        <f t="shared" si="20"/>
        <v>1727212</v>
      </c>
      <c r="H98" s="42">
        <f>SUM($Y$4:Y98)</f>
        <v>1727823</v>
      </c>
      <c r="I98" s="43">
        <f t="shared" si="26"/>
        <v>1728</v>
      </c>
      <c r="J98" s="43">
        <f t="shared" si="21"/>
        <v>1728</v>
      </c>
      <c r="K98" s="44">
        <f t="shared" si="22"/>
        <v>1727.8230000000001</v>
      </c>
      <c r="L98" s="45">
        <f>+J98*1000-SUM($Y$4:Y98)</f>
        <v>177</v>
      </c>
      <c r="M98" s="46" t="s">
        <v>228</v>
      </c>
      <c r="N98" s="40" t="s">
        <v>6</v>
      </c>
      <c r="O98" s="40" t="s">
        <v>7</v>
      </c>
      <c r="P98" s="54">
        <v>996466</v>
      </c>
      <c r="Q98" s="41" t="s">
        <v>8</v>
      </c>
      <c r="R98" s="47">
        <v>24699</v>
      </c>
      <c r="S98" s="41" t="s">
        <v>8</v>
      </c>
      <c r="T98" s="48">
        <v>100000</v>
      </c>
      <c r="U98" s="48" t="s">
        <v>10</v>
      </c>
      <c r="V98" s="49">
        <v>5</v>
      </c>
      <c r="W98" s="48"/>
      <c r="X98" s="50">
        <f t="shared" si="23"/>
        <v>3.1680248969486022E-4</v>
      </c>
      <c r="Y98" s="51">
        <f t="shared" si="24"/>
        <v>612</v>
      </c>
      <c r="Z98" s="96">
        <f t="shared" si="25"/>
        <v>3060</v>
      </c>
      <c r="AA98" s="68">
        <v>0</v>
      </c>
      <c r="AB98" s="75">
        <v>61200000</v>
      </c>
    </row>
    <row r="99" spans="1:28" ht="15.75" customHeight="1" x14ac:dyDescent="0.25">
      <c r="A99" s="40">
        <v>96</v>
      </c>
      <c r="B99" s="40">
        <v>1045</v>
      </c>
      <c r="C99" s="40">
        <v>2025</v>
      </c>
      <c r="D99" s="40">
        <v>12</v>
      </c>
      <c r="E99" s="59" t="s">
        <v>141</v>
      </c>
      <c r="F99" s="41">
        <v>14</v>
      </c>
      <c r="G99" s="42">
        <f t="shared" si="20"/>
        <v>1727824</v>
      </c>
      <c r="H99" s="42">
        <f>SUM($Y$4:Y99)</f>
        <v>1728418</v>
      </c>
      <c r="I99" s="43">
        <f t="shared" si="26"/>
        <v>1728</v>
      </c>
      <c r="J99" s="43">
        <f t="shared" si="21"/>
        <v>1729</v>
      </c>
      <c r="K99" s="44">
        <f t="shared" si="22"/>
        <v>1728.4179999999999</v>
      </c>
      <c r="L99" s="45">
        <f>+J99*1000-SUM($Y$4:Y99)</f>
        <v>582</v>
      </c>
      <c r="M99" s="46" t="s">
        <v>229</v>
      </c>
      <c r="N99" s="40" t="s">
        <v>6</v>
      </c>
      <c r="O99" s="40" t="s">
        <v>7</v>
      </c>
      <c r="P99" s="54">
        <v>796282</v>
      </c>
      <c r="Q99" s="41" t="s">
        <v>8</v>
      </c>
      <c r="R99" s="47">
        <v>23039</v>
      </c>
      <c r="S99" s="41" t="s">
        <v>8</v>
      </c>
      <c r="T99" s="48">
        <v>100000</v>
      </c>
      <c r="U99" s="48" t="s">
        <v>10</v>
      </c>
      <c r="V99" s="49">
        <v>5</v>
      </c>
      <c r="W99" s="48"/>
      <c r="X99" s="50">
        <f t="shared" si="23"/>
        <v>3.0800242053666965E-4</v>
      </c>
      <c r="Y99" s="51">
        <f t="shared" si="24"/>
        <v>595</v>
      </c>
      <c r="Z99" s="96">
        <f t="shared" si="25"/>
        <v>2975</v>
      </c>
      <c r="AA99" s="68">
        <v>0</v>
      </c>
      <c r="AB99" s="75">
        <v>59500000</v>
      </c>
    </row>
    <row r="100" spans="1:28" ht="15.75" customHeight="1" x14ac:dyDescent="0.25">
      <c r="A100" s="40">
        <v>97</v>
      </c>
      <c r="B100" s="40">
        <v>1045</v>
      </c>
      <c r="C100" s="40">
        <v>2025</v>
      </c>
      <c r="D100" s="40">
        <v>12</v>
      </c>
      <c r="E100" s="59" t="s">
        <v>122</v>
      </c>
      <c r="F100" s="41">
        <v>12</v>
      </c>
      <c r="G100" s="42">
        <f t="shared" si="20"/>
        <v>1728419</v>
      </c>
      <c r="H100" s="42">
        <f>SUM($Y$4:Y100)</f>
        <v>1729012</v>
      </c>
      <c r="I100" s="43">
        <f t="shared" si="26"/>
        <v>1729</v>
      </c>
      <c r="J100" s="43">
        <f t="shared" si="21"/>
        <v>1730</v>
      </c>
      <c r="K100" s="44">
        <f t="shared" si="22"/>
        <v>1729.0119999999999</v>
      </c>
      <c r="L100" s="45">
        <f>+J100*1000-SUM($Y$4:Y100)</f>
        <v>988</v>
      </c>
      <c r="M100" s="46" t="s">
        <v>126</v>
      </c>
      <c r="N100" s="40" t="s">
        <v>6</v>
      </c>
      <c r="O100" s="40" t="s">
        <v>7</v>
      </c>
      <c r="P100" s="54">
        <v>3205185</v>
      </c>
      <c r="Q100" s="41" t="s">
        <v>8</v>
      </c>
      <c r="R100" s="47">
        <v>33562</v>
      </c>
      <c r="S100" s="41" t="s">
        <v>8</v>
      </c>
      <c r="T100" s="48">
        <v>100000</v>
      </c>
      <c r="U100" s="48" t="s">
        <v>10</v>
      </c>
      <c r="V100" s="49">
        <v>5</v>
      </c>
      <c r="W100" s="48"/>
      <c r="X100" s="50">
        <f t="shared" si="23"/>
        <v>3.0748476940971727E-4</v>
      </c>
      <c r="Y100" s="51">
        <f t="shared" si="24"/>
        <v>594</v>
      </c>
      <c r="Z100" s="96">
        <f t="shared" si="25"/>
        <v>2970</v>
      </c>
      <c r="AA100" s="68">
        <v>0</v>
      </c>
      <c r="AB100" s="75">
        <v>59400000</v>
      </c>
    </row>
    <row r="101" spans="1:28" ht="15.75" customHeight="1" x14ac:dyDescent="0.25">
      <c r="A101" s="40">
        <v>98</v>
      </c>
      <c r="B101" s="40">
        <v>1045</v>
      </c>
      <c r="C101" s="40">
        <v>2025</v>
      </c>
      <c r="D101" s="40">
        <v>12</v>
      </c>
      <c r="E101" s="59" t="s">
        <v>123</v>
      </c>
      <c r="F101" s="41">
        <v>12</v>
      </c>
      <c r="G101" s="42">
        <f t="shared" ref="G101:G111" si="27">H100+$G$4</f>
        <v>1729013</v>
      </c>
      <c r="H101" s="42">
        <f>SUM($Y$4:Y101)</f>
        <v>1729606</v>
      </c>
      <c r="I101" s="43">
        <f t="shared" si="26"/>
        <v>1730</v>
      </c>
      <c r="J101" s="43">
        <f t="shared" ref="J101:J132" si="28">ROUNDUP(K101,0)</f>
        <v>1730</v>
      </c>
      <c r="K101" s="44">
        <f t="shared" ref="K101:K132" si="29">+H101/1000</f>
        <v>1729.606</v>
      </c>
      <c r="L101" s="45">
        <f>+J101*1000-SUM($Y$4:Y101)</f>
        <v>394</v>
      </c>
      <c r="M101" s="46" t="s">
        <v>126</v>
      </c>
      <c r="N101" s="40" t="s">
        <v>6</v>
      </c>
      <c r="O101" s="40" t="s">
        <v>7</v>
      </c>
      <c r="P101" s="54">
        <v>2354736</v>
      </c>
      <c r="Q101" s="41" t="s">
        <v>8</v>
      </c>
      <c r="R101" s="47">
        <v>32321</v>
      </c>
      <c r="S101" s="41" t="s">
        <v>8</v>
      </c>
      <c r="T101" s="48">
        <v>100000</v>
      </c>
      <c r="U101" s="48" t="s">
        <v>10</v>
      </c>
      <c r="V101" s="49">
        <v>5</v>
      </c>
      <c r="W101" s="48"/>
      <c r="X101" s="50">
        <f t="shared" ref="X101:X132" si="30">AB101/$AB$3</f>
        <v>3.0748476940971727E-4</v>
      </c>
      <c r="Y101" s="51">
        <f t="shared" ref="Y101:Y132" si="31">AB101/100000</f>
        <v>594</v>
      </c>
      <c r="Z101" s="96">
        <f t="shared" ref="Z101:Z111" si="32">Y101*5</f>
        <v>2970</v>
      </c>
      <c r="AA101" s="68">
        <v>0</v>
      </c>
      <c r="AB101" s="75">
        <v>59400000</v>
      </c>
    </row>
    <row r="102" spans="1:28" ht="15.75" customHeight="1" x14ac:dyDescent="0.25">
      <c r="A102" s="40">
        <v>99</v>
      </c>
      <c r="B102" s="40">
        <v>1045</v>
      </c>
      <c r="C102" s="40">
        <v>2025</v>
      </c>
      <c r="D102" s="40">
        <v>12</v>
      </c>
      <c r="E102" s="59" t="s">
        <v>124</v>
      </c>
      <c r="F102" s="41">
        <v>12</v>
      </c>
      <c r="G102" s="42">
        <f t="shared" si="27"/>
        <v>1729607</v>
      </c>
      <c r="H102" s="42">
        <f>SUM($Y$4:Y102)</f>
        <v>1730040</v>
      </c>
      <c r="I102" s="43">
        <f t="shared" si="26"/>
        <v>1730</v>
      </c>
      <c r="J102" s="43">
        <f t="shared" si="28"/>
        <v>1731</v>
      </c>
      <c r="K102" s="44">
        <f t="shared" si="29"/>
        <v>1730.04</v>
      </c>
      <c r="L102" s="45">
        <f>+J102*1000-SUM($Y$4:Y102)</f>
        <v>960</v>
      </c>
      <c r="M102" s="46" t="s">
        <v>126</v>
      </c>
      <c r="N102" s="40" t="s">
        <v>6</v>
      </c>
      <c r="O102" s="40" t="s">
        <v>7</v>
      </c>
      <c r="P102" s="54">
        <v>3532199</v>
      </c>
      <c r="Q102" s="41" t="s">
        <v>8</v>
      </c>
      <c r="R102" s="47">
        <v>34103</v>
      </c>
      <c r="S102" s="41" t="s">
        <v>8</v>
      </c>
      <c r="T102" s="48">
        <v>100000</v>
      </c>
      <c r="U102" s="48" t="s">
        <v>10</v>
      </c>
      <c r="V102" s="49">
        <v>5</v>
      </c>
      <c r="W102" s="48"/>
      <c r="X102" s="50">
        <f t="shared" si="30"/>
        <v>2.2466058909733548E-4</v>
      </c>
      <c r="Y102" s="51">
        <f t="shared" si="31"/>
        <v>434</v>
      </c>
      <c r="Z102" s="96">
        <f t="shared" si="32"/>
        <v>2170</v>
      </c>
      <c r="AA102" s="68">
        <v>0</v>
      </c>
      <c r="AB102" s="75">
        <v>43400000</v>
      </c>
    </row>
    <row r="103" spans="1:28" x14ac:dyDescent="0.25">
      <c r="A103" s="40">
        <v>100</v>
      </c>
      <c r="B103" s="40">
        <v>1045</v>
      </c>
      <c r="C103" s="40">
        <v>2025</v>
      </c>
      <c r="D103" s="40">
        <v>12</v>
      </c>
      <c r="E103" s="59" t="s">
        <v>89</v>
      </c>
      <c r="F103" s="41">
        <v>9</v>
      </c>
      <c r="G103" s="42">
        <f t="shared" si="27"/>
        <v>1730041</v>
      </c>
      <c r="H103" s="42">
        <f>SUM($Y$4:Y103)</f>
        <v>1730417</v>
      </c>
      <c r="I103" s="43">
        <f t="shared" si="26"/>
        <v>1731</v>
      </c>
      <c r="J103" s="43">
        <f t="shared" si="28"/>
        <v>1731</v>
      </c>
      <c r="K103" s="44">
        <f t="shared" si="29"/>
        <v>1730.4169999999999</v>
      </c>
      <c r="L103" s="45">
        <f>+J103*1000-SUM($Y$4:Y103)</f>
        <v>583</v>
      </c>
      <c r="M103" s="46" t="s">
        <v>21</v>
      </c>
      <c r="N103" s="40" t="s">
        <v>6</v>
      </c>
      <c r="O103" s="40" t="s">
        <v>7</v>
      </c>
      <c r="P103" s="54">
        <v>716987</v>
      </c>
      <c r="Q103" s="41" t="s">
        <v>8</v>
      </c>
      <c r="R103" s="47">
        <v>23702</v>
      </c>
      <c r="S103" s="41" t="s">
        <v>8</v>
      </c>
      <c r="T103" s="48">
        <v>100000</v>
      </c>
      <c r="U103" s="48" t="s">
        <v>10</v>
      </c>
      <c r="V103" s="49">
        <v>5</v>
      </c>
      <c r="W103" s="48"/>
      <c r="X103" s="50">
        <f t="shared" si="30"/>
        <v>1.951544748610495E-4</v>
      </c>
      <c r="Y103" s="51">
        <f t="shared" si="31"/>
        <v>377</v>
      </c>
      <c r="Z103" s="96">
        <f t="shared" si="32"/>
        <v>1885</v>
      </c>
      <c r="AA103" s="68">
        <v>0</v>
      </c>
      <c r="AB103" s="75">
        <f>35600000+2100000</f>
        <v>37700000</v>
      </c>
    </row>
    <row r="104" spans="1:28" x14ac:dyDescent="0.25">
      <c r="A104" s="40">
        <v>101</v>
      </c>
      <c r="B104" s="40">
        <v>1045</v>
      </c>
      <c r="C104" s="40">
        <v>2025</v>
      </c>
      <c r="D104" s="40">
        <v>12</v>
      </c>
      <c r="E104" s="58" t="s">
        <v>172</v>
      </c>
      <c r="F104" s="41">
        <v>13</v>
      </c>
      <c r="G104" s="42">
        <f t="shared" si="27"/>
        <v>1730418</v>
      </c>
      <c r="H104" s="42">
        <f>SUM($Y$4:Y104)</f>
        <v>1730702</v>
      </c>
      <c r="I104" s="43">
        <f t="shared" si="26"/>
        <v>1731</v>
      </c>
      <c r="J104" s="43">
        <f t="shared" si="28"/>
        <v>1731</v>
      </c>
      <c r="K104" s="44">
        <f t="shared" si="29"/>
        <v>1730.702</v>
      </c>
      <c r="L104" s="45">
        <f>+J104*1000-SUM($Y$4:Y104)</f>
        <v>298</v>
      </c>
      <c r="M104" s="46" t="s">
        <v>230</v>
      </c>
      <c r="N104" s="40" t="s">
        <v>6</v>
      </c>
      <c r="O104" s="40" t="s">
        <v>7</v>
      </c>
      <c r="P104" s="54">
        <v>3633659</v>
      </c>
      <c r="Q104" s="41" t="s">
        <v>8</v>
      </c>
      <c r="R104" s="47">
        <v>34281</v>
      </c>
      <c r="S104" s="41" t="s">
        <v>8</v>
      </c>
      <c r="T104" s="48">
        <v>100000</v>
      </c>
      <c r="U104" s="48" t="s">
        <v>10</v>
      </c>
      <c r="V104" s="49">
        <v>5</v>
      </c>
      <c r="W104" s="48"/>
      <c r="X104" s="50">
        <f t="shared" si="30"/>
        <v>1.4753057118143E-4</v>
      </c>
      <c r="Y104" s="51">
        <f t="shared" si="31"/>
        <v>285</v>
      </c>
      <c r="Z104" s="96">
        <f t="shared" si="32"/>
        <v>1425</v>
      </c>
      <c r="AA104" s="68">
        <v>0</v>
      </c>
      <c r="AB104" s="75">
        <f>23500000+5000000</f>
        <v>28500000</v>
      </c>
    </row>
    <row r="105" spans="1:28" x14ac:dyDescent="0.25">
      <c r="A105" s="40">
        <v>102</v>
      </c>
      <c r="B105" s="40">
        <v>1045</v>
      </c>
      <c r="C105" s="40">
        <v>2025</v>
      </c>
      <c r="D105" s="40">
        <v>12</v>
      </c>
      <c r="E105" s="58" t="s">
        <v>174</v>
      </c>
      <c r="F105" s="41">
        <v>0</v>
      </c>
      <c r="G105" s="42">
        <f t="shared" si="27"/>
        <v>1730703</v>
      </c>
      <c r="H105" s="42">
        <f>SUM($Y$4:Y105)</f>
        <v>1730953</v>
      </c>
      <c r="I105" s="43">
        <f t="shared" si="26"/>
        <v>1731</v>
      </c>
      <c r="J105" s="43">
        <f t="shared" si="28"/>
        <v>1731</v>
      </c>
      <c r="K105" s="44">
        <f t="shared" si="29"/>
        <v>1730.953</v>
      </c>
      <c r="L105" s="45">
        <f>+J105*1000-SUM($Y$4:Y105)</f>
        <v>47</v>
      </c>
      <c r="M105" s="46"/>
      <c r="N105" s="40" t="s">
        <v>6</v>
      </c>
      <c r="O105" s="40" t="s">
        <v>7</v>
      </c>
      <c r="P105" s="54">
        <v>69033</v>
      </c>
      <c r="Q105" s="41" t="s">
        <v>8</v>
      </c>
      <c r="R105" s="47">
        <v>11266</v>
      </c>
      <c r="S105" s="41" t="s">
        <v>8</v>
      </c>
      <c r="T105" s="48">
        <v>100000</v>
      </c>
      <c r="U105" s="48" t="s">
        <v>10</v>
      </c>
      <c r="V105" s="49">
        <v>5</v>
      </c>
      <c r="W105" s="48"/>
      <c r="X105" s="50">
        <f t="shared" si="30"/>
        <v>1.2993043286504887E-4</v>
      </c>
      <c r="Y105" s="51">
        <f t="shared" si="31"/>
        <v>251</v>
      </c>
      <c r="Z105" s="96">
        <f t="shared" si="32"/>
        <v>1255</v>
      </c>
      <c r="AA105" s="68">
        <v>0</v>
      </c>
      <c r="AB105" s="75">
        <v>25100000</v>
      </c>
    </row>
    <row r="106" spans="1:28" x14ac:dyDescent="0.25">
      <c r="A106" s="40">
        <v>103</v>
      </c>
      <c r="B106" s="40">
        <v>1045</v>
      </c>
      <c r="C106" s="40">
        <v>2025</v>
      </c>
      <c r="D106" s="40">
        <v>12</v>
      </c>
      <c r="E106" s="58" t="s">
        <v>175</v>
      </c>
      <c r="F106" s="41">
        <v>4</v>
      </c>
      <c r="G106" s="42">
        <f t="shared" si="27"/>
        <v>1730954</v>
      </c>
      <c r="H106" s="42">
        <f>SUM($Y$4:Y106)</f>
        <v>1731122</v>
      </c>
      <c r="I106" s="43">
        <f t="shared" si="26"/>
        <v>1731</v>
      </c>
      <c r="J106" s="43">
        <f t="shared" si="28"/>
        <v>1732</v>
      </c>
      <c r="K106" s="44">
        <f t="shared" si="29"/>
        <v>1731.1220000000001</v>
      </c>
      <c r="L106" s="45">
        <f>+J106*1000-SUM($Y$4:Y106)</f>
        <v>878</v>
      </c>
      <c r="M106" s="46" t="s">
        <v>18</v>
      </c>
      <c r="N106" s="40" t="s">
        <v>6</v>
      </c>
      <c r="O106" s="40" t="s">
        <v>7</v>
      </c>
      <c r="P106" s="54">
        <v>3569024</v>
      </c>
      <c r="Q106" s="41" t="s">
        <v>8</v>
      </c>
      <c r="R106" s="47">
        <v>30990</v>
      </c>
      <c r="S106" s="41" t="s">
        <v>8</v>
      </c>
      <c r="T106" s="48">
        <v>100000</v>
      </c>
      <c r="U106" s="48" t="s">
        <v>10</v>
      </c>
      <c r="V106" s="49">
        <v>5</v>
      </c>
      <c r="W106" s="48"/>
      <c r="X106" s="50">
        <f t="shared" si="30"/>
        <v>8.7483040454953219E-5</v>
      </c>
      <c r="Y106" s="51">
        <f t="shared" si="31"/>
        <v>169</v>
      </c>
      <c r="Z106" s="96">
        <f t="shared" si="32"/>
        <v>845</v>
      </c>
      <c r="AA106" s="68">
        <v>0</v>
      </c>
      <c r="AB106" s="75">
        <f>15700000+1200000</f>
        <v>16900000</v>
      </c>
    </row>
    <row r="107" spans="1:28" x14ac:dyDescent="0.25">
      <c r="A107" s="40">
        <v>104</v>
      </c>
      <c r="B107" s="40">
        <v>1045</v>
      </c>
      <c r="C107" s="40">
        <v>2025</v>
      </c>
      <c r="D107" s="40">
        <v>12</v>
      </c>
      <c r="E107" s="58" t="s">
        <v>177</v>
      </c>
      <c r="F107" s="41">
        <v>4</v>
      </c>
      <c r="G107" s="42">
        <f t="shared" si="27"/>
        <v>1731123</v>
      </c>
      <c r="H107" s="42">
        <f>SUM($Y$4:Y107)</f>
        <v>1731270</v>
      </c>
      <c r="I107" s="43">
        <f t="shared" si="26"/>
        <v>1732</v>
      </c>
      <c r="J107" s="43">
        <f t="shared" si="28"/>
        <v>1732</v>
      </c>
      <c r="K107" s="44">
        <f t="shared" si="29"/>
        <v>1731.27</v>
      </c>
      <c r="L107" s="45">
        <f>+J107*1000-SUM($Y$4:Y107)</f>
        <v>730</v>
      </c>
      <c r="M107" s="46" t="s">
        <v>18</v>
      </c>
      <c r="N107" s="40" t="s">
        <v>6</v>
      </c>
      <c r="O107" s="40" t="s">
        <v>7</v>
      </c>
      <c r="P107" s="54">
        <v>2836161</v>
      </c>
      <c r="Q107" s="41" t="s">
        <v>8</v>
      </c>
      <c r="R107" s="47">
        <v>30296</v>
      </c>
      <c r="S107" s="41" t="s">
        <v>8</v>
      </c>
      <c r="T107" s="48">
        <v>100000</v>
      </c>
      <c r="U107" s="48" t="s">
        <v>10</v>
      </c>
      <c r="V107" s="49">
        <v>5</v>
      </c>
      <c r="W107" s="48"/>
      <c r="X107" s="50">
        <f t="shared" si="30"/>
        <v>7.6612366788953123E-5</v>
      </c>
      <c r="Y107" s="51">
        <f t="shared" si="31"/>
        <v>148</v>
      </c>
      <c r="Z107" s="96">
        <f t="shared" si="32"/>
        <v>740</v>
      </c>
      <c r="AA107" s="68">
        <v>0</v>
      </c>
      <c r="AB107" s="75">
        <f>14000000+800000</f>
        <v>14800000</v>
      </c>
    </row>
    <row r="108" spans="1:28" x14ac:dyDescent="0.25">
      <c r="A108" s="40">
        <v>105</v>
      </c>
      <c r="B108" s="40">
        <v>1045</v>
      </c>
      <c r="C108" s="40">
        <v>2025</v>
      </c>
      <c r="D108" s="40">
        <v>12</v>
      </c>
      <c r="E108" s="58" t="s">
        <v>176</v>
      </c>
      <c r="F108" s="41">
        <v>4</v>
      </c>
      <c r="G108" s="42">
        <f t="shared" si="27"/>
        <v>1731271</v>
      </c>
      <c r="H108" s="42">
        <f>SUM($Y$4:Y108)</f>
        <v>1731415</v>
      </c>
      <c r="I108" s="43">
        <f t="shared" si="26"/>
        <v>1732</v>
      </c>
      <c r="J108" s="43">
        <f t="shared" si="28"/>
        <v>1732</v>
      </c>
      <c r="K108" s="44">
        <f t="shared" si="29"/>
        <v>1731.415</v>
      </c>
      <c r="L108" s="45">
        <f>+J108*1000-SUM($Y$4:Y108)</f>
        <v>585</v>
      </c>
      <c r="M108" s="46" t="s">
        <v>18</v>
      </c>
      <c r="N108" s="40" t="s">
        <v>6</v>
      </c>
      <c r="O108" s="40" t="s">
        <v>7</v>
      </c>
      <c r="P108" s="54">
        <v>3965787</v>
      </c>
      <c r="Q108" s="41" t="s">
        <v>8</v>
      </c>
      <c r="R108" s="47">
        <v>33974</v>
      </c>
      <c r="S108" s="41" t="s">
        <v>8</v>
      </c>
      <c r="T108" s="48">
        <v>100000</v>
      </c>
      <c r="U108" s="48" t="s">
        <v>10</v>
      </c>
      <c r="V108" s="49">
        <v>5</v>
      </c>
      <c r="W108" s="48"/>
      <c r="X108" s="50">
        <f t="shared" si="30"/>
        <v>7.5059413408095965E-5</v>
      </c>
      <c r="Y108" s="51">
        <f t="shared" si="31"/>
        <v>145</v>
      </c>
      <c r="Z108" s="96">
        <f t="shared" si="32"/>
        <v>725</v>
      </c>
      <c r="AA108" s="68">
        <v>0</v>
      </c>
      <c r="AB108" s="75">
        <f>14100000+400000</f>
        <v>14500000</v>
      </c>
    </row>
    <row r="109" spans="1:28" x14ac:dyDescent="0.25">
      <c r="A109" s="40">
        <v>106</v>
      </c>
      <c r="B109" s="40">
        <v>1045</v>
      </c>
      <c r="C109" s="40">
        <v>2025</v>
      </c>
      <c r="D109" s="40">
        <v>12</v>
      </c>
      <c r="E109" s="58" t="s">
        <v>202</v>
      </c>
      <c r="F109" s="41">
        <v>4</v>
      </c>
      <c r="G109" s="42">
        <f t="shared" si="27"/>
        <v>1731416</v>
      </c>
      <c r="H109" s="42">
        <f>SUM($Y$4:Y109)</f>
        <v>1731553</v>
      </c>
      <c r="I109" s="43">
        <f t="shared" si="26"/>
        <v>1732</v>
      </c>
      <c r="J109" s="43">
        <f t="shared" si="28"/>
        <v>1732</v>
      </c>
      <c r="K109" s="44">
        <f t="shared" si="29"/>
        <v>1731.5530000000001</v>
      </c>
      <c r="L109" s="45">
        <f>+J109*1000-SUM($Y$4:Y109)</f>
        <v>447</v>
      </c>
      <c r="M109" s="46" t="s">
        <v>18</v>
      </c>
      <c r="N109" s="40" t="s">
        <v>6</v>
      </c>
      <c r="O109" s="40" t="s">
        <v>7</v>
      </c>
      <c r="P109" s="54">
        <v>2836155</v>
      </c>
      <c r="Q109" s="41" t="s">
        <v>8</v>
      </c>
      <c r="R109" s="47">
        <v>28892</v>
      </c>
      <c r="S109" s="41" t="s">
        <v>8</v>
      </c>
      <c r="T109" s="48">
        <v>100000</v>
      </c>
      <c r="U109" s="48" t="s">
        <v>10</v>
      </c>
      <c r="V109" s="49">
        <v>5</v>
      </c>
      <c r="W109" s="48"/>
      <c r="X109" s="50">
        <f t="shared" si="30"/>
        <v>7.1435855519429262E-5</v>
      </c>
      <c r="Y109" s="51">
        <f t="shared" si="31"/>
        <v>138</v>
      </c>
      <c r="Z109" s="96">
        <f t="shared" si="32"/>
        <v>690</v>
      </c>
      <c r="AA109" s="68">
        <v>0</v>
      </c>
      <c r="AB109" s="75">
        <f>12400000+1400000</f>
        <v>13800000</v>
      </c>
    </row>
    <row r="110" spans="1:28" x14ac:dyDescent="0.25">
      <c r="A110" s="40">
        <v>107</v>
      </c>
      <c r="B110" s="40">
        <v>1045</v>
      </c>
      <c r="C110" s="40">
        <v>2025</v>
      </c>
      <c r="D110" s="40">
        <v>12</v>
      </c>
      <c r="E110" s="58" t="s">
        <v>178</v>
      </c>
      <c r="F110" s="41">
        <v>4</v>
      </c>
      <c r="G110" s="42">
        <f t="shared" si="27"/>
        <v>1731554</v>
      </c>
      <c r="H110" s="42">
        <f>SUM($Y$4:Y110)</f>
        <v>1731684</v>
      </c>
      <c r="I110" s="43">
        <f t="shared" si="26"/>
        <v>1732</v>
      </c>
      <c r="J110" s="43">
        <f t="shared" si="28"/>
        <v>1732</v>
      </c>
      <c r="K110" s="44">
        <f t="shared" si="29"/>
        <v>1731.684</v>
      </c>
      <c r="L110" s="45">
        <f>+J110*1000-SUM($Y$4:Y110)</f>
        <v>316</v>
      </c>
      <c r="M110" s="46" t="s">
        <v>18</v>
      </c>
      <c r="N110" s="40" t="s">
        <v>6</v>
      </c>
      <c r="O110" s="40" t="s">
        <v>7</v>
      </c>
      <c r="P110" s="54">
        <v>2836154</v>
      </c>
      <c r="Q110" s="41" t="s">
        <v>8</v>
      </c>
      <c r="R110" s="47">
        <v>29392</v>
      </c>
      <c r="S110" s="41" t="s">
        <v>8</v>
      </c>
      <c r="T110" s="48">
        <v>100000</v>
      </c>
      <c r="U110" s="48" t="s">
        <v>10</v>
      </c>
      <c r="V110" s="49">
        <v>5</v>
      </c>
      <c r="W110" s="48"/>
      <c r="X110" s="50">
        <f t="shared" si="30"/>
        <v>6.7812297630762559E-5</v>
      </c>
      <c r="Y110" s="51">
        <f t="shared" si="31"/>
        <v>131</v>
      </c>
      <c r="Z110" s="96">
        <f t="shared" si="32"/>
        <v>655</v>
      </c>
      <c r="AA110" s="68">
        <v>0</v>
      </c>
      <c r="AB110" s="75">
        <f>11700000+1400000</f>
        <v>13100000</v>
      </c>
    </row>
    <row r="111" spans="1:28" x14ac:dyDescent="0.25">
      <c r="A111" s="40">
        <v>108</v>
      </c>
      <c r="B111" s="40">
        <v>1045</v>
      </c>
      <c r="C111" s="40">
        <v>2025</v>
      </c>
      <c r="D111" s="40">
        <v>12</v>
      </c>
      <c r="E111" s="58" t="s">
        <v>179</v>
      </c>
      <c r="F111" s="41">
        <v>4</v>
      </c>
      <c r="G111" s="42">
        <f t="shared" si="27"/>
        <v>1731685</v>
      </c>
      <c r="H111" s="42">
        <f>SUM($Y$4:Y111)</f>
        <v>1731803</v>
      </c>
      <c r="I111" s="43">
        <f t="shared" si="26"/>
        <v>1732</v>
      </c>
      <c r="J111" s="43">
        <f t="shared" si="28"/>
        <v>1732</v>
      </c>
      <c r="K111" s="44">
        <f t="shared" si="29"/>
        <v>1731.8030000000001</v>
      </c>
      <c r="L111" s="45">
        <f>+J111*1000-SUM($Y$4:Y111)</f>
        <v>197</v>
      </c>
      <c r="M111" s="46" t="s">
        <v>18</v>
      </c>
      <c r="N111" s="40" t="s">
        <v>6</v>
      </c>
      <c r="O111" s="40" t="s">
        <v>7</v>
      </c>
      <c r="P111" s="54">
        <v>2836153</v>
      </c>
      <c r="Q111" s="41" t="s">
        <v>8</v>
      </c>
      <c r="R111" s="47">
        <v>32515</v>
      </c>
      <c r="S111" s="41" t="s">
        <v>8</v>
      </c>
      <c r="T111" s="48">
        <v>100000</v>
      </c>
      <c r="U111" s="48" t="s">
        <v>10</v>
      </c>
      <c r="V111" s="49">
        <v>5</v>
      </c>
      <c r="W111" s="48"/>
      <c r="X111" s="50">
        <f t="shared" si="30"/>
        <v>6.1600484107333925E-5</v>
      </c>
      <c r="Y111" s="51">
        <f t="shared" si="31"/>
        <v>119</v>
      </c>
      <c r="Z111" s="96">
        <f t="shared" si="32"/>
        <v>595</v>
      </c>
      <c r="AA111" s="68">
        <v>0</v>
      </c>
      <c r="AB111" s="75">
        <f>11300000+600000</f>
        <v>11900000</v>
      </c>
    </row>
    <row r="112" spans="1:28" x14ac:dyDescent="0.25">
      <c r="A112" s="40">
        <v>109</v>
      </c>
      <c r="B112" s="40">
        <v>1045</v>
      </c>
      <c r="C112" s="40">
        <v>2025</v>
      </c>
      <c r="D112" s="40">
        <v>6</v>
      </c>
      <c r="E112" s="58" t="s">
        <v>244</v>
      </c>
      <c r="F112" s="40"/>
      <c r="G112" s="101">
        <v>1</v>
      </c>
      <c r="H112" s="42">
        <v>10000</v>
      </c>
      <c r="I112" s="40">
        <v>1</v>
      </c>
      <c r="J112" s="43">
        <f t="shared" si="28"/>
        <v>10</v>
      </c>
      <c r="K112" s="44">
        <f t="shared" si="29"/>
        <v>10</v>
      </c>
      <c r="L112" s="45">
        <f>+J112*1000-SUM($Y$33:Y190)</f>
        <v>-2348254</v>
      </c>
      <c r="M112" s="46"/>
      <c r="N112" s="40" t="s">
        <v>6</v>
      </c>
      <c r="O112" s="40" t="s">
        <v>7</v>
      </c>
      <c r="P112" s="54">
        <v>210097</v>
      </c>
      <c r="Q112" s="41" t="s">
        <v>8</v>
      </c>
      <c r="R112" s="47">
        <v>15879</v>
      </c>
      <c r="S112" s="41" t="s">
        <v>8</v>
      </c>
      <c r="T112" s="48">
        <v>100000</v>
      </c>
      <c r="U112" s="48" t="s">
        <v>232</v>
      </c>
      <c r="V112" s="40">
        <v>0</v>
      </c>
      <c r="W112" s="81"/>
      <c r="X112" s="50">
        <f t="shared" si="30"/>
        <v>5.1765112695238589E-3</v>
      </c>
      <c r="Y112" s="51">
        <f t="shared" si="31"/>
        <v>10000</v>
      </c>
      <c r="Z112" s="40">
        <v>0</v>
      </c>
      <c r="AA112" s="68">
        <v>0</v>
      </c>
      <c r="AB112" s="75">
        <v>1000000000</v>
      </c>
    </row>
    <row r="113" spans="1:28" x14ac:dyDescent="0.25">
      <c r="A113" s="40">
        <v>110</v>
      </c>
      <c r="B113" s="40">
        <v>1045</v>
      </c>
      <c r="C113" s="40">
        <v>2025</v>
      </c>
      <c r="D113" s="40">
        <v>6</v>
      </c>
      <c r="E113" s="58" t="s">
        <v>196</v>
      </c>
      <c r="F113" s="81"/>
      <c r="G113" s="42">
        <v>10001</v>
      </c>
      <c r="H113" s="42">
        <v>15000</v>
      </c>
      <c r="I113" s="43">
        <f t="shared" ref="I113:I136" si="33">+J112</f>
        <v>10</v>
      </c>
      <c r="J113" s="43">
        <f t="shared" si="28"/>
        <v>15</v>
      </c>
      <c r="K113" s="44">
        <f t="shared" si="29"/>
        <v>15</v>
      </c>
      <c r="L113" s="45">
        <f>+J113*1000-SUM($Y$51:Y172)</f>
        <v>-203289</v>
      </c>
      <c r="M113" s="46"/>
      <c r="N113" s="40" t="s">
        <v>245</v>
      </c>
      <c r="O113" s="40" t="s">
        <v>194</v>
      </c>
      <c r="P113" s="82" t="s">
        <v>246</v>
      </c>
      <c r="Q113" s="41" t="s">
        <v>8</v>
      </c>
      <c r="R113" s="47">
        <v>39478</v>
      </c>
      <c r="S113" s="41" t="s">
        <v>8</v>
      </c>
      <c r="T113" s="48">
        <v>100000</v>
      </c>
      <c r="U113" s="48" t="s">
        <v>232</v>
      </c>
      <c r="V113" s="40">
        <v>0</v>
      </c>
      <c r="W113" s="81"/>
      <c r="X113" s="50">
        <f t="shared" si="30"/>
        <v>2.5882556347619295E-3</v>
      </c>
      <c r="Y113" s="51">
        <f t="shared" si="31"/>
        <v>5000</v>
      </c>
      <c r="Z113" s="40">
        <v>0</v>
      </c>
      <c r="AA113" s="68">
        <v>0</v>
      </c>
      <c r="AB113" s="75">
        <v>500000000</v>
      </c>
    </row>
    <row r="114" spans="1:28" x14ac:dyDescent="0.25">
      <c r="A114" s="40">
        <v>111</v>
      </c>
      <c r="B114" s="40">
        <v>1045</v>
      </c>
      <c r="C114" s="40">
        <v>2025</v>
      </c>
      <c r="D114" s="40">
        <v>6</v>
      </c>
      <c r="E114" s="58" t="s">
        <v>247</v>
      </c>
      <c r="F114" s="40"/>
      <c r="G114" s="42">
        <v>15001</v>
      </c>
      <c r="H114" s="42">
        <v>20000</v>
      </c>
      <c r="I114" s="43">
        <f t="shared" si="33"/>
        <v>15</v>
      </c>
      <c r="J114" s="43">
        <f t="shared" si="28"/>
        <v>20</v>
      </c>
      <c r="K114" s="44">
        <f t="shared" si="29"/>
        <v>20</v>
      </c>
      <c r="L114" s="45">
        <f>+J114*1000-SUM($Y$52:Y172)</f>
        <v>-193969</v>
      </c>
      <c r="M114" s="46"/>
      <c r="N114" s="40" t="s">
        <v>6</v>
      </c>
      <c r="O114" s="40" t="s">
        <v>7</v>
      </c>
      <c r="P114" s="54">
        <v>1045951</v>
      </c>
      <c r="Q114" s="41" t="s">
        <v>8</v>
      </c>
      <c r="R114" s="47">
        <v>25099</v>
      </c>
      <c r="S114" s="41" t="s">
        <v>8</v>
      </c>
      <c r="T114" s="48">
        <v>100000</v>
      </c>
      <c r="U114" s="48" t="s">
        <v>232</v>
      </c>
      <c r="V114" s="40">
        <v>0</v>
      </c>
      <c r="W114" s="40">
        <v>0</v>
      </c>
      <c r="X114" s="50">
        <f t="shared" si="30"/>
        <v>2.5882556347619295E-3</v>
      </c>
      <c r="Y114" s="51">
        <f t="shared" si="31"/>
        <v>5000</v>
      </c>
      <c r="Z114" s="40">
        <v>0</v>
      </c>
      <c r="AA114" s="68">
        <v>0</v>
      </c>
      <c r="AB114" s="75">
        <v>500000000</v>
      </c>
    </row>
    <row r="115" spans="1:28" x14ac:dyDescent="0.25">
      <c r="A115" s="40">
        <v>112</v>
      </c>
      <c r="B115" s="40">
        <v>1045</v>
      </c>
      <c r="C115" s="40">
        <v>2025</v>
      </c>
      <c r="D115" s="40">
        <v>6</v>
      </c>
      <c r="E115" s="58" t="s">
        <v>248</v>
      </c>
      <c r="F115" s="81"/>
      <c r="G115" s="42">
        <v>20001</v>
      </c>
      <c r="H115" s="42">
        <v>22500</v>
      </c>
      <c r="I115" s="43">
        <f t="shared" si="33"/>
        <v>20</v>
      </c>
      <c r="J115" s="43">
        <f t="shared" si="28"/>
        <v>23</v>
      </c>
      <c r="K115" s="44">
        <f t="shared" si="29"/>
        <v>22.5</v>
      </c>
      <c r="L115" s="45">
        <f>+J115*1000-SUM($Y$87:Y138)</f>
        <v>-21848</v>
      </c>
      <c r="M115" s="46"/>
      <c r="N115" s="40" t="s">
        <v>6</v>
      </c>
      <c r="O115" s="40" t="s">
        <v>7</v>
      </c>
      <c r="P115" s="54">
        <v>3608828</v>
      </c>
      <c r="Q115" s="41" t="s">
        <v>8</v>
      </c>
      <c r="R115" s="47">
        <v>30330</v>
      </c>
      <c r="S115" s="41" t="s">
        <v>8</v>
      </c>
      <c r="T115" s="48">
        <v>100000</v>
      </c>
      <c r="U115" s="48" t="s">
        <v>232</v>
      </c>
      <c r="V115" s="40">
        <v>0</v>
      </c>
      <c r="W115" s="81"/>
      <c r="X115" s="50">
        <f t="shared" si="30"/>
        <v>1.2941278173809647E-3</v>
      </c>
      <c r="Y115" s="51">
        <f t="shared" si="31"/>
        <v>2500</v>
      </c>
      <c r="Z115" s="40">
        <v>0</v>
      </c>
      <c r="AA115" s="68">
        <v>0</v>
      </c>
      <c r="AB115" s="75">
        <v>250000000</v>
      </c>
    </row>
    <row r="116" spans="1:28" x14ac:dyDescent="0.25">
      <c r="A116" s="40">
        <v>113</v>
      </c>
      <c r="B116" s="40">
        <v>1045</v>
      </c>
      <c r="C116" s="40">
        <v>2025</v>
      </c>
      <c r="D116" s="40">
        <v>6</v>
      </c>
      <c r="E116" s="59" t="s">
        <v>94</v>
      </c>
      <c r="F116" s="81"/>
      <c r="G116" s="42">
        <v>22501</v>
      </c>
      <c r="H116" s="42">
        <v>23284</v>
      </c>
      <c r="I116" s="43">
        <f t="shared" si="33"/>
        <v>23</v>
      </c>
      <c r="J116" s="43">
        <f t="shared" si="28"/>
        <v>24</v>
      </c>
      <c r="K116" s="44">
        <f t="shared" si="29"/>
        <v>23.283999999999999</v>
      </c>
      <c r="L116" s="45">
        <f>+J116*1000-SUM($Y$111:Y115)</f>
        <v>1381</v>
      </c>
      <c r="M116" s="46"/>
      <c r="N116" s="40" t="s">
        <v>6</v>
      </c>
      <c r="O116" s="40" t="s">
        <v>7</v>
      </c>
      <c r="P116" s="54">
        <v>1240189</v>
      </c>
      <c r="Q116" s="41" t="s">
        <v>8</v>
      </c>
      <c r="R116" s="47">
        <v>25688</v>
      </c>
      <c r="S116" s="41" t="s">
        <v>8</v>
      </c>
      <c r="T116" s="48">
        <v>100000</v>
      </c>
      <c r="U116" s="48" t="s">
        <v>232</v>
      </c>
      <c r="V116" s="40">
        <v>0</v>
      </c>
      <c r="W116" s="81"/>
      <c r="X116" s="50">
        <f t="shared" si="30"/>
        <v>4.0583848353067058E-4</v>
      </c>
      <c r="Y116" s="51">
        <f t="shared" si="31"/>
        <v>784</v>
      </c>
      <c r="Z116" s="40">
        <v>0</v>
      </c>
      <c r="AA116" s="68">
        <v>0</v>
      </c>
      <c r="AB116" s="75">
        <v>78400000</v>
      </c>
    </row>
    <row r="117" spans="1:28" x14ac:dyDescent="0.25">
      <c r="A117" s="40">
        <v>114</v>
      </c>
      <c r="B117" s="40">
        <v>1045</v>
      </c>
      <c r="C117" s="40">
        <v>2025</v>
      </c>
      <c r="D117" s="40">
        <v>6</v>
      </c>
      <c r="E117" s="59" t="s">
        <v>233</v>
      </c>
      <c r="F117" s="81"/>
      <c r="G117" s="42">
        <v>23285</v>
      </c>
      <c r="H117" s="42">
        <v>23784</v>
      </c>
      <c r="I117" s="43">
        <f t="shared" si="33"/>
        <v>24</v>
      </c>
      <c r="J117" s="43">
        <f t="shared" si="28"/>
        <v>24</v>
      </c>
      <c r="K117" s="44">
        <f t="shared" si="29"/>
        <v>23.783999999999999</v>
      </c>
      <c r="L117" s="45">
        <f>+J117*1000-SUM($Y$111:Y116)</f>
        <v>597</v>
      </c>
      <c r="M117" s="46"/>
      <c r="N117" s="40" t="s">
        <v>6</v>
      </c>
      <c r="O117" s="40" t="s">
        <v>7</v>
      </c>
      <c r="P117" s="54">
        <v>1026287</v>
      </c>
      <c r="Q117" s="41" t="s">
        <v>8</v>
      </c>
      <c r="R117" s="47">
        <v>25207</v>
      </c>
      <c r="S117" s="41" t="s">
        <v>8</v>
      </c>
      <c r="T117" s="48">
        <v>100000</v>
      </c>
      <c r="U117" s="48" t="s">
        <v>232</v>
      </c>
      <c r="V117" s="40">
        <v>0</v>
      </c>
      <c r="W117" s="81"/>
      <c r="X117" s="50">
        <f t="shared" si="30"/>
        <v>2.5882556347619297E-4</v>
      </c>
      <c r="Y117" s="51">
        <f t="shared" si="31"/>
        <v>500</v>
      </c>
      <c r="Z117" s="40">
        <v>0</v>
      </c>
      <c r="AA117" s="68">
        <v>0</v>
      </c>
      <c r="AB117" s="75">
        <v>50000000</v>
      </c>
    </row>
    <row r="118" spans="1:28" x14ac:dyDescent="0.25">
      <c r="A118" s="40">
        <v>115</v>
      </c>
      <c r="B118" s="40">
        <v>1045</v>
      </c>
      <c r="C118" s="40">
        <v>2025</v>
      </c>
      <c r="D118" s="40">
        <v>6</v>
      </c>
      <c r="E118" s="59" t="s">
        <v>93</v>
      </c>
      <c r="F118" s="81"/>
      <c r="G118" s="42">
        <v>23785</v>
      </c>
      <c r="H118" s="42">
        <v>24284</v>
      </c>
      <c r="I118" s="43">
        <f t="shared" si="33"/>
        <v>24</v>
      </c>
      <c r="J118" s="43">
        <f t="shared" si="28"/>
        <v>25</v>
      </c>
      <c r="K118" s="44">
        <f t="shared" si="29"/>
        <v>24.283999999999999</v>
      </c>
      <c r="L118" s="45">
        <f>+J118*1000-SUM($Y$111:Y117)</f>
        <v>1097</v>
      </c>
      <c r="M118" s="46"/>
      <c r="N118" s="40" t="s">
        <v>6</v>
      </c>
      <c r="O118" s="40" t="s">
        <v>7</v>
      </c>
      <c r="P118" s="54">
        <v>568561</v>
      </c>
      <c r="Q118" s="41" t="s">
        <v>8</v>
      </c>
      <c r="R118" s="47">
        <v>24451</v>
      </c>
      <c r="S118" s="41" t="s">
        <v>8</v>
      </c>
      <c r="T118" s="48">
        <v>100000</v>
      </c>
      <c r="U118" s="48" t="s">
        <v>232</v>
      </c>
      <c r="V118" s="40">
        <v>0</v>
      </c>
      <c r="W118" s="81"/>
      <c r="X118" s="50">
        <f t="shared" si="30"/>
        <v>2.5882556347619297E-4</v>
      </c>
      <c r="Y118" s="51">
        <f t="shared" si="31"/>
        <v>500</v>
      </c>
      <c r="Z118" s="40">
        <v>0</v>
      </c>
      <c r="AA118" s="68">
        <v>0</v>
      </c>
      <c r="AB118" s="75">
        <v>50000000</v>
      </c>
    </row>
    <row r="119" spans="1:28" x14ac:dyDescent="0.25">
      <c r="A119" s="40">
        <v>116</v>
      </c>
      <c r="B119" s="40">
        <v>1045</v>
      </c>
      <c r="C119" s="40">
        <v>2025</v>
      </c>
      <c r="D119" s="40">
        <v>6</v>
      </c>
      <c r="E119" s="58" t="s">
        <v>161</v>
      </c>
      <c r="F119" s="81"/>
      <c r="G119" s="42">
        <v>24285</v>
      </c>
      <c r="H119" s="42">
        <v>24784</v>
      </c>
      <c r="I119" s="43">
        <f t="shared" si="33"/>
        <v>25</v>
      </c>
      <c r="J119" s="43">
        <f t="shared" si="28"/>
        <v>25</v>
      </c>
      <c r="K119" s="44">
        <f t="shared" si="29"/>
        <v>24.783999999999999</v>
      </c>
      <c r="L119" s="45">
        <f>+J119*1000-SUM($Y$111:Y118)</f>
        <v>597</v>
      </c>
      <c r="M119" s="46"/>
      <c r="N119" s="40" t="s">
        <v>6</v>
      </c>
      <c r="O119" s="40" t="s">
        <v>7</v>
      </c>
      <c r="P119" s="54">
        <v>568560</v>
      </c>
      <c r="Q119" s="41" t="s">
        <v>8</v>
      </c>
      <c r="R119" s="47">
        <v>22395</v>
      </c>
      <c r="S119" s="41" t="s">
        <v>8</v>
      </c>
      <c r="T119" s="48">
        <v>100000</v>
      </c>
      <c r="U119" s="48" t="s">
        <v>232</v>
      </c>
      <c r="V119" s="40">
        <v>0</v>
      </c>
      <c r="W119" s="81"/>
      <c r="X119" s="50">
        <f t="shared" si="30"/>
        <v>2.5882556347619297E-4</v>
      </c>
      <c r="Y119" s="51">
        <f t="shared" si="31"/>
        <v>500</v>
      </c>
      <c r="Z119" s="40">
        <v>0</v>
      </c>
      <c r="AA119" s="68">
        <v>0</v>
      </c>
      <c r="AB119" s="75">
        <v>50000000</v>
      </c>
    </row>
    <row r="120" spans="1:28" x14ac:dyDescent="0.25">
      <c r="A120" s="40">
        <v>117</v>
      </c>
      <c r="B120" s="40">
        <v>1045</v>
      </c>
      <c r="C120" s="40">
        <v>2025</v>
      </c>
      <c r="D120" s="40">
        <v>6</v>
      </c>
      <c r="E120" s="100" t="s">
        <v>137</v>
      </c>
      <c r="F120" s="81"/>
      <c r="G120" s="42">
        <v>24785</v>
      </c>
      <c r="H120" s="42">
        <v>25051</v>
      </c>
      <c r="I120" s="43">
        <f t="shared" si="33"/>
        <v>25</v>
      </c>
      <c r="J120" s="43">
        <f t="shared" si="28"/>
        <v>26</v>
      </c>
      <c r="K120" s="44">
        <f t="shared" si="29"/>
        <v>25.050999999999998</v>
      </c>
      <c r="L120" s="45">
        <f>+J120*1000-SUM($Y$111:Y119)</f>
        <v>1097</v>
      </c>
      <c r="M120" s="46"/>
      <c r="N120" s="40" t="s">
        <v>6</v>
      </c>
      <c r="O120" s="40" t="s">
        <v>7</v>
      </c>
      <c r="P120" s="54">
        <v>1471307</v>
      </c>
      <c r="Q120" s="41" t="s">
        <v>8</v>
      </c>
      <c r="R120" s="47">
        <v>26361</v>
      </c>
      <c r="S120" s="41" t="s">
        <v>8</v>
      </c>
      <c r="T120" s="48">
        <v>100000</v>
      </c>
      <c r="U120" s="48" t="s">
        <v>232</v>
      </c>
      <c r="V120" s="40">
        <v>0</v>
      </c>
      <c r="W120" s="81"/>
      <c r="X120" s="50">
        <f t="shared" si="30"/>
        <v>1.3821285089628705E-4</v>
      </c>
      <c r="Y120" s="51">
        <f t="shared" si="31"/>
        <v>267</v>
      </c>
      <c r="Z120" s="40">
        <v>0</v>
      </c>
      <c r="AA120" s="68">
        <v>0</v>
      </c>
      <c r="AB120" s="75">
        <v>26700000</v>
      </c>
    </row>
    <row r="121" spans="1:28" x14ac:dyDescent="0.25">
      <c r="A121" s="40">
        <v>118</v>
      </c>
      <c r="B121" s="40">
        <v>1045</v>
      </c>
      <c r="C121" s="40">
        <v>2025</v>
      </c>
      <c r="D121" s="40">
        <v>6</v>
      </c>
      <c r="E121" s="59" t="s">
        <v>92</v>
      </c>
      <c r="F121" s="81"/>
      <c r="G121" s="42">
        <v>25052</v>
      </c>
      <c r="H121" s="42">
        <v>25292</v>
      </c>
      <c r="I121" s="43">
        <f t="shared" si="33"/>
        <v>26</v>
      </c>
      <c r="J121" s="43">
        <f t="shared" si="28"/>
        <v>26</v>
      </c>
      <c r="K121" s="44">
        <f t="shared" si="29"/>
        <v>25.292000000000002</v>
      </c>
      <c r="L121" s="45">
        <f>+J121*1000-SUM($Y$111:Y120)</f>
        <v>830</v>
      </c>
      <c r="M121" s="46"/>
      <c r="N121" s="40" t="s">
        <v>6</v>
      </c>
      <c r="O121" s="40" t="s">
        <v>7</v>
      </c>
      <c r="P121" s="54">
        <v>568559</v>
      </c>
      <c r="Q121" s="41" t="s">
        <v>8</v>
      </c>
      <c r="R121" s="47">
        <v>25094</v>
      </c>
      <c r="S121" s="41" t="s">
        <v>8</v>
      </c>
      <c r="T121" s="48">
        <v>100000</v>
      </c>
      <c r="U121" s="48" t="s">
        <v>232</v>
      </c>
      <c r="V121" s="40">
        <v>0</v>
      </c>
      <c r="W121" s="81"/>
      <c r="X121" s="50">
        <f t="shared" si="30"/>
        <v>1.2475392159552501E-4</v>
      </c>
      <c r="Y121" s="51">
        <f t="shared" si="31"/>
        <v>241</v>
      </c>
      <c r="Z121" s="40">
        <v>0</v>
      </c>
      <c r="AA121" s="68">
        <v>0</v>
      </c>
      <c r="AB121" s="75">
        <v>24100000</v>
      </c>
    </row>
    <row r="122" spans="1:28" x14ac:dyDescent="0.25">
      <c r="A122" s="40">
        <v>119</v>
      </c>
      <c r="B122" s="40">
        <v>1045</v>
      </c>
      <c r="C122" s="40">
        <v>2025</v>
      </c>
      <c r="D122" s="40">
        <v>6</v>
      </c>
      <c r="E122" s="59" t="s">
        <v>98</v>
      </c>
      <c r="F122" s="81"/>
      <c r="G122" s="42">
        <v>25293</v>
      </c>
      <c r="H122" s="42">
        <v>25530</v>
      </c>
      <c r="I122" s="43">
        <f t="shared" si="33"/>
        <v>26</v>
      </c>
      <c r="J122" s="43">
        <f t="shared" si="28"/>
        <v>26</v>
      </c>
      <c r="K122" s="44">
        <f t="shared" si="29"/>
        <v>25.53</v>
      </c>
      <c r="L122" s="45">
        <f>+J122*1000-SUM($Y$111:Y121)</f>
        <v>589</v>
      </c>
      <c r="M122" s="46"/>
      <c r="N122" s="40" t="s">
        <v>6</v>
      </c>
      <c r="O122" s="40" t="s">
        <v>7</v>
      </c>
      <c r="P122" s="54">
        <v>507340</v>
      </c>
      <c r="Q122" s="41" t="s">
        <v>8</v>
      </c>
      <c r="R122" s="47">
        <v>23836</v>
      </c>
      <c r="S122" s="41" t="s">
        <v>8</v>
      </c>
      <c r="T122" s="48">
        <v>100000</v>
      </c>
      <c r="U122" s="48" t="s">
        <v>232</v>
      </c>
      <c r="V122" s="40">
        <v>0</v>
      </c>
      <c r="W122" s="81"/>
      <c r="X122" s="50">
        <f t="shared" si="30"/>
        <v>1.2320096821466785E-4</v>
      </c>
      <c r="Y122" s="51">
        <f t="shared" si="31"/>
        <v>238</v>
      </c>
      <c r="Z122" s="40">
        <v>0</v>
      </c>
      <c r="AA122" s="68">
        <v>0</v>
      </c>
      <c r="AB122" s="75">
        <v>23800000</v>
      </c>
    </row>
    <row r="123" spans="1:28" x14ac:dyDescent="0.25">
      <c r="A123" s="40">
        <v>120</v>
      </c>
      <c r="B123" s="40">
        <v>1045</v>
      </c>
      <c r="C123" s="40">
        <v>2025</v>
      </c>
      <c r="D123" s="40">
        <v>6</v>
      </c>
      <c r="E123" s="59" t="s">
        <v>99</v>
      </c>
      <c r="F123" s="40"/>
      <c r="G123" s="42">
        <v>25531</v>
      </c>
      <c r="H123" s="42">
        <v>25768</v>
      </c>
      <c r="I123" s="43">
        <f t="shared" si="33"/>
        <v>26</v>
      </c>
      <c r="J123" s="43">
        <f t="shared" si="28"/>
        <v>26</v>
      </c>
      <c r="K123" s="44">
        <f t="shared" si="29"/>
        <v>25.768000000000001</v>
      </c>
      <c r="L123" s="45">
        <f>+J123*1000-SUM($Y$111:Y122)</f>
        <v>351</v>
      </c>
      <c r="M123" s="46"/>
      <c r="N123" s="40" t="s">
        <v>6</v>
      </c>
      <c r="O123" s="40" t="s">
        <v>7</v>
      </c>
      <c r="P123" s="54">
        <v>507668</v>
      </c>
      <c r="Q123" s="41" t="s">
        <v>8</v>
      </c>
      <c r="R123" s="47">
        <v>24416</v>
      </c>
      <c r="S123" s="41" t="s">
        <v>8</v>
      </c>
      <c r="T123" s="48">
        <v>100000</v>
      </c>
      <c r="U123" s="48" t="s">
        <v>232</v>
      </c>
      <c r="V123" s="40">
        <v>0</v>
      </c>
      <c r="W123" s="81"/>
      <c r="X123" s="50">
        <f t="shared" si="30"/>
        <v>1.2320096821466785E-4</v>
      </c>
      <c r="Y123" s="51">
        <f t="shared" si="31"/>
        <v>238</v>
      </c>
      <c r="Z123" s="40">
        <v>0</v>
      </c>
      <c r="AA123" s="68">
        <v>0</v>
      </c>
      <c r="AB123" s="75">
        <v>23800000</v>
      </c>
    </row>
    <row r="124" spans="1:28" x14ac:dyDescent="0.25">
      <c r="A124" s="40">
        <v>121</v>
      </c>
      <c r="B124" s="40">
        <v>1045</v>
      </c>
      <c r="C124" s="40">
        <v>2025</v>
      </c>
      <c r="D124" s="40">
        <v>6</v>
      </c>
      <c r="E124" s="59" t="s">
        <v>100</v>
      </c>
      <c r="F124" s="40"/>
      <c r="G124" s="42">
        <v>25769</v>
      </c>
      <c r="H124" s="42">
        <v>26006</v>
      </c>
      <c r="I124" s="43">
        <f t="shared" si="33"/>
        <v>26</v>
      </c>
      <c r="J124" s="43">
        <f t="shared" si="28"/>
        <v>27</v>
      </c>
      <c r="K124" s="44">
        <f t="shared" si="29"/>
        <v>26.006</v>
      </c>
      <c r="L124" s="45">
        <f>+J124*1000-SUM($Y$111:Y123)</f>
        <v>1113</v>
      </c>
      <c r="M124" s="46"/>
      <c r="N124" s="40" t="s">
        <v>6</v>
      </c>
      <c r="O124" s="40" t="s">
        <v>7</v>
      </c>
      <c r="P124" s="54">
        <v>507665</v>
      </c>
      <c r="Q124" s="41" t="s">
        <v>8</v>
      </c>
      <c r="R124" s="47">
        <v>23419</v>
      </c>
      <c r="S124" s="41" t="s">
        <v>8</v>
      </c>
      <c r="T124" s="48">
        <v>100000</v>
      </c>
      <c r="U124" s="48" t="s">
        <v>232</v>
      </c>
      <c r="V124" s="40">
        <v>0</v>
      </c>
      <c r="W124" s="81"/>
      <c r="X124" s="50">
        <f t="shared" si="30"/>
        <v>1.2320096821466785E-4</v>
      </c>
      <c r="Y124" s="51">
        <f t="shared" si="31"/>
        <v>238</v>
      </c>
      <c r="Z124" s="40">
        <v>0</v>
      </c>
      <c r="AA124" s="68">
        <v>0</v>
      </c>
      <c r="AB124" s="75">
        <v>23800000</v>
      </c>
    </row>
    <row r="125" spans="1:28" x14ac:dyDescent="0.25">
      <c r="A125" s="40">
        <v>122</v>
      </c>
      <c r="B125" s="40">
        <v>1045</v>
      </c>
      <c r="C125" s="40">
        <v>2025</v>
      </c>
      <c r="D125" s="40">
        <v>6</v>
      </c>
      <c r="E125" s="58" t="s">
        <v>160</v>
      </c>
      <c r="F125" s="40"/>
      <c r="G125" s="42">
        <v>26007</v>
      </c>
      <c r="H125" s="42">
        <v>26242</v>
      </c>
      <c r="I125" s="43">
        <f t="shared" si="33"/>
        <v>27</v>
      </c>
      <c r="J125" s="43">
        <f t="shared" si="28"/>
        <v>27</v>
      </c>
      <c r="K125" s="44">
        <f t="shared" si="29"/>
        <v>26.242000000000001</v>
      </c>
      <c r="L125" s="45">
        <f>+J125*1000-SUM($Y$111:Y124)</f>
        <v>875</v>
      </c>
      <c r="M125" s="46"/>
      <c r="N125" s="40" t="s">
        <v>6</v>
      </c>
      <c r="O125" s="40" t="s">
        <v>7</v>
      </c>
      <c r="P125" s="54">
        <v>107653</v>
      </c>
      <c r="Q125" s="41" t="s">
        <v>8</v>
      </c>
      <c r="R125" s="47">
        <v>11978</v>
      </c>
      <c r="S125" s="41" t="s">
        <v>8</v>
      </c>
      <c r="T125" s="48">
        <v>100000</v>
      </c>
      <c r="U125" s="48" t="s">
        <v>232</v>
      </c>
      <c r="V125" s="40">
        <v>0</v>
      </c>
      <c r="W125" s="81"/>
      <c r="X125" s="50">
        <f t="shared" si="30"/>
        <v>1.2216566596076308E-4</v>
      </c>
      <c r="Y125" s="51">
        <f t="shared" si="31"/>
        <v>236</v>
      </c>
      <c r="Z125" s="40">
        <v>0</v>
      </c>
      <c r="AA125" s="68">
        <v>0</v>
      </c>
      <c r="AB125" s="75">
        <v>23600000</v>
      </c>
    </row>
    <row r="126" spans="1:28" x14ac:dyDescent="0.25">
      <c r="A126" s="40">
        <v>123</v>
      </c>
      <c r="B126" s="40">
        <v>1045</v>
      </c>
      <c r="C126" s="40">
        <v>2025</v>
      </c>
      <c r="D126" s="40">
        <v>6</v>
      </c>
      <c r="E126" s="58" t="s">
        <v>204</v>
      </c>
      <c r="F126" s="40"/>
      <c r="G126" s="42">
        <v>26243</v>
      </c>
      <c r="H126" s="42">
        <v>26638</v>
      </c>
      <c r="I126" s="43">
        <f t="shared" si="33"/>
        <v>27</v>
      </c>
      <c r="J126" s="43">
        <f t="shared" si="28"/>
        <v>27</v>
      </c>
      <c r="K126" s="44">
        <f t="shared" si="29"/>
        <v>26.638000000000002</v>
      </c>
      <c r="L126" s="45">
        <f>+J126*1000-SUM($Y$111:Y125)</f>
        <v>639</v>
      </c>
      <c r="M126" s="46"/>
      <c r="N126" s="40" t="s">
        <v>6</v>
      </c>
      <c r="O126" s="40" t="s">
        <v>7</v>
      </c>
      <c r="P126" s="54">
        <v>234615</v>
      </c>
      <c r="Q126" s="41" t="s">
        <v>8</v>
      </c>
      <c r="R126" s="47">
        <v>16137</v>
      </c>
      <c r="S126" s="41" t="s">
        <v>8</v>
      </c>
      <c r="T126" s="48">
        <v>100000</v>
      </c>
      <c r="U126" s="48" t="s">
        <v>232</v>
      </c>
      <c r="V126" s="40">
        <v>0</v>
      </c>
      <c r="W126" s="81"/>
      <c r="X126" s="50">
        <f t="shared" si="30"/>
        <v>2.0498984627314483E-4</v>
      </c>
      <c r="Y126" s="51">
        <f t="shared" si="31"/>
        <v>396</v>
      </c>
      <c r="Z126" s="40">
        <v>0</v>
      </c>
      <c r="AA126" s="68">
        <v>0</v>
      </c>
      <c r="AB126" s="75">
        <v>39600000</v>
      </c>
    </row>
    <row r="127" spans="1:28" x14ac:dyDescent="0.25">
      <c r="A127" s="40">
        <v>124</v>
      </c>
      <c r="B127" s="40">
        <v>1045</v>
      </c>
      <c r="C127" s="40">
        <v>2025</v>
      </c>
      <c r="D127" s="40">
        <v>6</v>
      </c>
      <c r="E127" s="58" t="s">
        <v>158</v>
      </c>
      <c r="F127" s="40"/>
      <c r="G127" s="42">
        <v>26639</v>
      </c>
      <c r="H127" s="42">
        <v>26966</v>
      </c>
      <c r="I127" s="43">
        <f t="shared" si="33"/>
        <v>27</v>
      </c>
      <c r="J127" s="43">
        <f t="shared" si="28"/>
        <v>27</v>
      </c>
      <c r="K127" s="44">
        <f t="shared" si="29"/>
        <v>26.966000000000001</v>
      </c>
      <c r="L127" s="45">
        <f>+J127*1000-SUM($Y$111:Y126)</f>
        <v>243</v>
      </c>
      <c r="M127" s="46"/>
      <c r="N127" s="40" t="s">
        <v>6</v>
      </c>
      <c r="O127" s="40" t="s">
        <v>7</v>
      </c>
      <c r="P127" s="54">
        <v>196661</v>
      </c>
      <c r="Q127" s="41" t="s">
        <v>8</v>
      </c>
      <c r="R127" s="47">
        <v>14470</v>
      </c>
      <c r="S127" s="41" t="s">
        <v>8</v>
      </c>
      <c r="T127" s="48">
        <v>100000</v>
      </c>
      <c r="U127" s="48" t="s">
        <v>232</v>
      </c>
      <c r="V127" s="40">
        <v>0</v>
      </c>
      <c r="W127" s="81"/>
      <c r="X127" s="50">
        <f t="shared" si="30"/>
        <v>1.6978956964038258E-4</v>
      </c>
      <c r="Y127" s="51">
        <f t="shared" si="31"/>
        <v>328</v>
      </c>
      <c r="Z127" s="40">
        <v>0</v>
      </c>
      <c r="AA127" s="68">
        <v>0</v>
      </c>
      <c r="AB127" s="75">
        <v>32800000</v>
      </c>
    </row>
    <row r="128" spans="1:28" x14ac:dyDescent="0.25">
      <c r="A128" s="40">
        <v>125</v>
      </c>
      <c r="B128" s="40">
        <v>1045</v>
      </c>
      <c r="C128" s="40">
        <v>2025</v>
      </c>
      <c r="D128" s="40">
        <v>6</v>
      </c>
      <c r="E128" s="58" t="s">
        <v>147</v>
      </c>
      <c r="F128" s="40"/>
      <c r="G128" s="42">
        <v>26967</v>
      </c>
      <c r="H128" s="42">
        <v>27224</v>
      </c>
      <c r="I128" s="43">
        <f t="shared" si="33"/>
        <v>27</v>
      </c>
      <c r="J128" s="43">
        <f t="shared" si="28"/>
        <v>28</v>
      </c>
      <c r="K128" s="44">
        <f t="shared" si="29"/>
        <v>27.224</v>
      </c>
      <c r="L128" s="45">
        <f>+J128*1000-SUM($Y$111:Y127)</f>
        <v>915</v>
      </c>
      <c r="M128" s="46"/>
      <c r="N128" s="40" t="s">
        <v>6</v>
      </c>
      <c r="O128" s="40" t="s">
        <v>7</v>
      </c>
      <c r="P128" s="54">
        <v>767977</v>
      </c>
      <c r="Q128" s="41" t="s">
        <v>8</v>
      </c>
      <c r="R128" s="47">
        <v>24582</v>
      </c>
      <c r="S128" s="41" t="s">
        <v>8</v>
      </c>
      <c r="T128" s="48">
        <v>100000</v>
      </c>
      <c r="U128" s="48" t="s">
        <v>232</v>
      </c>
      <c r="V128" s="40">
        <v>0</v>
      </c>
      <c r="W128" s="81"/>
      <c r="X128" s="50">
        <f t="shared" si="30"/>
        <v>1.3355399075371557E-4</v>
      </c>
      <c r="Y128" s="51">
        <f t="shared" si="31"/>
        <v>258</v>
      </c>
      <c r="Z128" s="40">
        <v>0</v>
      </c>
      <c r="AA128" s="68">
        <v>0</v>
      </c>
      <c r="AB128" s="75">
        <v>25800000</v>
      </c>
    </row>
    <row r="129" spans="1:28" x14ac:dyDescent="0.25">
      <c r="A129" s="40">
        <v>126</v>
      </c>
      <c r="B129" s="40">
        <v>1045</v>
      </c>
      <c r="C129" s="40">
        <v>2025</v>
      </c>
      <c r="D129" s="40">
        <v>6</v>
      </c>
      <c r="E129" s="59" t="s">
        <v>91</v>
      </c>
      <c r="F129" s="40"/>
      <c r="G129" s="42">
        <v>27225</v>
      </c>
      <c r="H129" s="42">
        <v>27473</v>
      </c>
      <c r="I129" s="43">
        <f t="shared" si="33"/>
        <v>28</v>
      </c>
      <c r="J129" s="43">
        <f t="shared" si="28"/>
        <v>28</v>
      </c>
      <c r="K129" s="44">
        <f t="shared" si="29"/>
        <v>27.472999999999999</v>
      </c>
      <c r="L129" s="45">
        <f>+J129*1000-SUM($Y$111:Y128)</f>
        <v>657</v>
      </c>
      <c r="M129" s="46"/>
      <c r="N129" s="40" t="s">
        <v>6</v>
      </c>
      <c r="O129" s="40" t="s">
        <v>7</v>
      </c>
      <c r="P129" s="54">
        <v>146530</v>
      </c>
      <c r="Q129" s="41" t="s">
        <v>8</v>
      </c>
      <c r="R129" s="47">
        <v>13586</v>
      </c>
      <c r="S129" s="41" t="s">
        <v>8</v>
      </c>
      <c r="T129" s="48">
        <v>100000</v>
      </c>
      <c r="U129" s="48" t="s">
        <v>232</v>
      </c>
      <c r="V129" s="40">
        <v>0</v>
      </c>
      <c r="W129" s="81"/>
      <c r="X129" s="50">
        <f t="shared" si="30"/>
        <v>1.288951306111441E-4</v>
      </c>
      <c r="Y129" s="51">
        <f t="shared" si="31"/>
        <v>249</v>
      </c>
      <c r="Z129" s="40">
        <v>0</v>
      </c>
      <c r="AA129" s="68">
        <v>0</v>
      </c>
      <c r="AB129" s="75">
        <v>24900000</v>
      </c>
    </row>
    <row r="130" spans="1:28" x14ac:dyDescent="0.25">
      <c r="A130" s="40">
        <v>127</v>
      </c>
      <c r="B130" s="40">
        <v>1045</v>
      </c>
      <c r="C130" s="40">
        <v>2025</v>
      </c>
      <c r="D130" s="40">
        <v>6</v>
      </c>
      <c r="E130" s="59" t="s">
        <v>103</v>
      </c>
      <c r="F130" s="40"/>
      <c r="G130" s="42">
        <v>27474</v>
      </c>
      <c r="H130" s="42">
        <v>27572</v>
      </c>
      <c r="I130" s="43">
        <f t="shared" si="33"/>
        <v>28</v>
      </c>
      <c r="J130" s="43">
        <f t="shared" si="28"/>
        <v>28</v>
      </c>
      <c r="K130" s="44">
        <f t="shared" si="29"/>
        <v>27.571999999999999</v>
      </c>
      <c r="L130" s="45">
        <f>+J130*1000-SUM($Y$111:Y129)</f>
        <v>408</v>
      </c>
      <c r="M130" s="46"/>
      <c r="N130" s="40" t="s">
        <v>6</v>
      </c>
      <c r="O130" s="40" t="s">
        <v>7</v>
      </c>
      <c r="P130" s="54">
        <v>433576</v>
      </c>
      <c r="Q130" s="41" t="s">
        <v>8</v>
      </c>
      <c r="R130" s="47">
        <v>20601</v>
      </c>
      <c r="S130" s="41" t="s">
        <v>8</v>
      </c>
      <c r="T130" s="48">
        <v>100000</v>
      </c>
      <c r="U130" s="48" t="s">
        <v>232</v>
      </c>
      <c r="V130" s="40">
        <v>0</v>
      </c>
      <c r="W130" s="81"/>
      <c r="X130" s="50">
        <f t="shared" si="30"/>
        <v>5.1247461568286209E-5</v>
      </c>
      <c r="Y130" s="51">
        <f t="shared" si="31"/>
        <v>99</v>
      </c>
      <c r="Z130" s="40">
        <v>0</v>
      </c>
      <c r="AA130" s="68">
        <v>0</v>
      </c>
      <c r="AB130" s="75">
        <v>9900000</v>
      </c>
    </row>
    <row r="131" spans="1:28" x14ac:dyDescent="0.25">
      <c r="A131" s="40">
        <v>128</v>
      </c>
      <c r="B131" s="40">
        <v>1045</v>
      </c>
      <c r="C131" s="40">
        <v>2025</v>
      </c>
      <c r="D131" s="40">
        <v>6</v>
      </c>
      <c r="E131" s="59" t="s">
        <v>104</v>
      </c>
      <c r="F131" s="40"/>
      <c r="G131" s="42">
        <v>27573</v>
      </c>
      <c r="H131" s="42">
        <v>27671</v>
      </c>
      <c r="I131" s="43">
        <f t="shared" si="33"/>
        <v>28</v>
      </c>
      <c r="J131" s="43">
        <f t="shared" si="28"/>
        <v>28</v>
      </c>
      <c r="K131" s="44">
        <f t="shared" si="29"/>
        <v>27.670999999999999</v>
      </c>
      <c r="L131" s="45">
        <f>+J131*1000-SUM($Y$111:Y130)</f>
        <v>309</v>
      </c>
      <c r="M131" s="46"/>
      <c r="N131" s="40" t="s">
        <v>6</v>
      </c>
      <c r="O131" s="40" t="s">
        <v>7</v>
      </c>
      <c r="P131" s="54">
        <v>433577</v>
      </c>
      <c r="Q131" s="41" t="s">
        <v>8</v>
      </c>
      <c r="R131" s="47">
        <v>21268</v>
      </c>
      <c r="S131" s="41" t="s">
        <v>8</v>
      </c>
      <c r="T131" s="48">
        <v>100000</v>
      </c>
      <c r="U131" s="48" t="s">
        <v>232</v>
      </c>
      <c r="V131" s="40">
        <v>0</v>
      </c>
      <c r="W131" s="81"/>
      <c r="X131" s="50">
        <f t="shared" si="30"/>
        <v>5.1247461568286209E-5</v>
      </c>
      <c r="Y131" s="51">
        <f t="shared" si="31"/>
        <v>99</v>
      </c>
      <c r="Z131" s="40">
        <v>0</v>
      </c>
      <c r="AA131" s="68">
        <v>0</v>
      </c>
      <c r="AB131" s="75">
        <v>9900000</v>
      </c>
    </row>
    <row r="132" spans="1:28" x14ac:dyDescent="0.25">
      <c r="A132" s="40">
        <v>129</v>
      </c>
      <c r="B132" s="40">
        <v>1045</v>
      </c>
      <c r="C132" s="40">
        <v>2025</v>
      </c>
      <c r="D132" s="40">
        <v>6</v>
      </c>
      <c r="E132" s="59" t="s">
        <v>105</v>
      </c>
      <c r="F132" s="40"/>
      <c r="G132" s="42">
        <v>27672</v>
      </c>
      <c r="H132" s="42">
        <v>27770</v>
      </c>
      <c r="I132" s="43">
        <f t="shared" si="33"/>
        <v>28</v>
      </c>
      <c r="J132" s="43">
        <f t="shared" si="28"/>
        <v>28</v>
      </c>
      <c r="K132" s="44">
        <f t="shared" si="29"/>
        <v>27.77</v>
      </c>
      <c r="L132" s="45">
        <f>+J132*1000-SUM($Y$111:Y131)</f>
        <v>210</v>
      </c>
      <c r="M132" s="46"/>
      <c r="N132" s="40" t="s">
        <v>6</v>
      </c>
      <c r="O132" s="40" t="s">
        <v>7</v>
      </c>
      <c r="P132" s="54">
        <v>507343</v>
      </c>
      <c r="Q132" s="41" t="s">
        <v>8</v>
      </c>
      <c r="R132" s="47">
        <v>22151</v>
      </c>
      <c r="S132" s="41" t="s">
        <v>8</v>
      </c>
      <c r="T132" s="48">
        <v>100000</v>
      </c>
      <c r="U132" s="48" t="s">
        <v>232</v>
      </c>
      <c r="V132" s="40">
        <v>0</v>
      </c>
      <c r="W132" s="81"/>
      <c r="X132" s="50">
        <f t="shared" si="30"/>
        <v>5.1247461568286209E-5</v>
      </c>
      <c r="Y132" s="51">
        <f t="shared" si="31"/>
        <v>99</v>
      </c>
      <c r="Z132" s="40">
        <v>0</v>
      </c>
      <c r="AA132" s="68">
        <v>0</v>
      </c>
      <c r="AB132" s="75">
        <v>9900000</v>
      </c>
    </row>
    <row r="133" spans="1:28" x14ac:dyDescent="0.25">
      <c r="A133" s="40">
        <v>130</v>
      </c>
      <c r="B133" s="40">
        <v>1045</v>
      </c>
      <c r="C133" s="40">
        <v>2025</v>
      </c>
      <c r="D133" s="40">
        <v>6</v>
      </c>
      <c r="E133" s="59" t="s">
        <v>106</v>
      </c>
      <c r="F133" s="40"/>
      <c r="G133" s="42">
        <v>27771</v>
      </c>
      <c r="H133" s="42">
        <v>27869</v>
      </c>
      <c r="I133" s="43">
        <f t="shared" si="33"/>
        <v>28</v>
      </c>
      <c r="J133" s="43">
        <f t="shared" ref="J133:J139" si="34">ROUNDUP(K133,0)</f>
        <v>28</v>
      </c>
      <c r="K133" s="44">
        <f t="shared" ref="K133:K143" si="35">+H133/1000</f>
        <v>27.869</v>
      </c>
      <c r="L133" s="45">
        <f>+J133*1000-SUM($Y$111:Y132)</f>
        <v>111</v>
      </c>
      <c r="M133" s="46"/>
      <c r="N133" s="40" t="s">
        <v>6</v>
      </c>
      <c r="O133" s="40" t="s">
        <v>7</v>
      </c>
      <c r="P133" s="54">
        <v>423451</v>
      </c>
      <c r="Q133" s="41" t="s">
        <v>8</v>
      </c>
      <c r="R133" s="47">
        <v>19879</v>
      </c>
      <c r="S133" s="41" t="s">
        <v>8</v>
      </c>
      <c r="T133" s="48">
        <v>100000</v>
      </c>
      <c r="U133" s="48" t="s">
        <v>232</v>
      </c>
      <c r="V133" s="40">
        <v>0</v>
      </c>
      <c r="W133" s="81"/>
      <c r="X133" s="50">
        <f t="shared" ref="X133:X164" si="36">AB133/$AB$3</f>
        <v>5.1247461568286209E-5</v>
      </c>
      <c r="Y133" s="51">
        <f t="shared" ref="Y133:Y147" si="37">AB133/100000</f>
        <v>99</v>
      </c>
      <c r="Z133" s="40">
        <v>0</v>
      </c>
      <c r="AA133" s="68">
        <v>0</v>
      </c>
      <c r="AB133" s="75">
        <v>9900000</v>
      </c>
    </row>
    <row r="134" spans="1:28" x14ac:dyDescent="0.25">
      <c r="A134" s="40">
        <v>131</v>
      </c>
      <c r="B134" s="40">
        <v>1045</v>
      </c>
      <c r="C134" s="40">
        <v>2025</v>
      </c>
      <c r="D134" s="40">
        <v>6</v>
      </c>
      <c r="E134" s="59" t="s">
        <v>107</v>
      </c>
      <c r="F134" s="40"/>
      <c r="G134" s="42">
        <v>27870</v>
      </c>
      <c r="H134" s="42">
        <v>27968</v>
      </c>
      <c r="I134" s="43">
        <f t="shared" si="33"/>
        <v>28</v>
      </c>
      <c r="J134" s="43">
        <f t="shared" si="34"/>
        <v>28</v>
      </c>
      <c r="K134" s="44">
        <f t="shared" si="35"/>
        <v>27.968</v>
      </c>
      <c r="L134" s="45">
        <f>+J134*1000-SUM($Y$111:Y133)</f>
        <v>12</v>
      </c>
      <c r="M134" s="46"/>
      <c r="N134" s="40" t="s">
        <v>6</v>
      </c>
      <c r="O134" s="40" t="s">
        <v>7</v>
      </c>
      <c r="P134" s="54">
        <v>507669</v>
      </c>
      <c r="Q134" s="41" t="s">
        <v>8</v>
      </c>
      <c r="R134" s="47">
        <v>24142</v>
      </c>
      <c r="S134" s="41" t="s">
        <v>8</v>
      </c>
      <c r="T134" s="48">
        <v>100000</v>
      </c>
      <c r="U134" s="48" t="s">
        <v>232</v>
      </c>
      <c r="V134" s="40">
        <v>0</v>
      </c>
      <c r="W134" s="81"/>
      <c r="X134" s="50">
        <f t="shared" si="36"/>
        <v>5.1247461568286209E-5</v>
      </c>
      <c r="Y134" s="51">
        <f t="shared" si="37"/>
        <v>99</v>
      </c>
      <c r="Z134" s="40">
        <v>0</v>
      </c>
      <c r="AA134" s="68">
        <v>0</v>
      </c>
      <c r="AB134" s="75">
        <v>9900000</v>
      </c>
    </row>
    <row r="135" spans="1:28" x14ac:dyDescent="0.25">
      <c r="A135" s="40">
        <v>132</v>
      </c>
      <c r="B135" s="40">
        <v>1045</v>
      </c>
      <c r="C135" s="40">
        <v>2025</v>
      </c>
      <c r="D135" s="40">
        <v>6</v>
      </c>
      <c r="E135" s="59" t="s">
        <v>143</v>
      </c>
      <c r="F135" s="40"/>
      <c r="G135" s="42">
        <v>27969</v>
      </c>
      <c r="H135" s="42">
        <v>28063</v>
      </c>
      <c r="I135" s="43">
        <f t="shared" si="33"/>
        <v>28</v>
      </c>
      <c r="J135" s="43">
        <f t="shared" si="34"/>
        <v>29</v>
      </c>
      <c r="K135" s="44">
        <f t="shared" si="35"/>
        <v>28.062999999999999</v>
      </c>
      <c r="L135" s="45">
        <f>+J135*1000-SUM($Y$111:Y134)</f>
        <v>913</v>
      </c>
      <c r="M135" s="46"/>
      <c r="N135" s="40" t="s">
        <v>6</v>
      </c>
      <c r="O135" s="40" t="s">
        <v>7</v>
      </c>
      <c r="P135" s="54">
        <v>4366731</v>
      </c>
      <c r="Q135" s="41" t="s">
        <v>8</v>
      </c>
      <c r="R135" s="47">
        <v>31998</v>
      </c>
      <c r="S135" s="41" t="s">
        <v>8</v>
      </c>
      <c r="T135" s="48">
        <v>100000</v>
      </c>
      <c r="U135" s="48" t="s">
        <v>232</v>
      </c>
      <c r="V135" s="40">
        <v>0</v>
      </c>
      <c r="W135" s="81"/>
      <c r="X135" s="50">
        <f t="shared" si="36"/>
        <v>4.9176857060476664E-5</v>
      </c>
      <c r="Y135" s="51">
        <f t="shared" si="37"/>
        <v>95</v>
      </c>
      <c r="Z135" s="40">
        <v>0</v>
      </c>
      <c r="AA135" s="68">
        <v>0</v>
      </c>
      <c r="AB135" s="75">
        <v>9500000</v>
      </c>
    </row>
    <row r="136" spans="1:28" x14ac:dyDescent="0.25">
      <c r="A136" s="40">
        <v>133</v>
      </c>
      <c r="B136" s="40">
        <v>1045</v>
      </c>
      <c r="C136" s="40">
        <v>2025</v>
      </c>
      <c r="D136" s="40">
        <v>6</v>
      </c>
      <c r="E136" s="58" t="s">
        <v>249</v>
      </c>
      <c r="F136" s="40"/>
      <c r="G136" s="42">
        <v>28064</v>
      </c>
      <c r="H136" s="42">
        <v>28363</v>
      </c>
      <c r="I136" s="43">
        <f t="shared" si="33"/>
        <v>29</v>
      </c>
      <c r="J136" s="43">
        <f t="shared" si="34"/>
        <v>29</v>
      </c>
      <c r="K136" s="44">
        <f t="shared" si="35"/>
        <v>28.363</v>
      </c>
      <c r="L136" s="45">
        <f>+J136*1000-SUM($Y$111:Y135)</f>
        <v>818</v>
      </c>
      <c r="M136" s="46"/>
      <c r="N136" s="40" t="s">
        <v>6</v>
      </c>
      <c r="O136" s="40" t="s">
        <v>7</v>
      </c>
      <c r="P136" s="54">
        <v>4192291</v>
      </c>
      <c r="Q136" s="41" t="s">
        <v>8</v>
      </c>
      <c r="R136" s="47">
        <v>34132</v>
      </c>
      <c r="S136" s="41" t="s">
        <v>8</v>
      </c>
      <c r="T136" s="48">
        <v>100000</v>
      </c>
      <c r="U136" s="48" t="s">
        <v>232</v>
      </c>
      <c r="V136" s="40">
        <v>0</v>
      </c>
      <c r="W136" s="81"/>
      <c r="X136" s="50">
        <f t="shared" si="36"/>
        <v>1.5529533808571579E-4</v>
      </c>
      <c r="Y136" s="51">
        <f t="shared" si="37"/>
        <v>300</v>
      </c>
      <c r="Z136" s="40">
        <v>0</v>
      </c>
      <c r="AA136" s="68">
        <v>0</v>
      </c>
      <c r="AB136" s="75">
        <v>30000000</v>
      </c>
    </row>
    <row r="137" spans="1:28" x14ac:dyDescent="0.25">
      <c r="A137" s="40">
        <v>134</v>
      </c>
      <c r="B137" s="40">
        <v>1045</v>
      </c>
      <c r="C137" s="40">
        <v>2025</v>
      </c>
      <c r="D137" s="40">
        <v>12</v>
      </c>
      <c r="E137" s="102" t="s">
        <v>234</v>
      </c>
      <c r="F137" s="41"/>
      <c r="G137" s="42">
        <v>28364</v>
      </c>
      <c r="H137" s="42">
        <v>29363</v>
      </c>
      <c r="I137" s="43">
        <f>J128</f>
        <v>28</v>
      </c>
      <c r="J137" s="43">
        <f t="shared" si="34"/>
        <v>30</v>
      </c>
      <c r="K137" s="44">
        <f t="shared" si="35"/>
        <v>29.363</v>
      </c>
      <c r="L137" s="45">
        <f>+K137*1000-SUM($W$3:W137)</f>
        <v>29363</v>
      </c>
      <c r="M137" s="46"/>
      <c r="N137" s="103" t="s">
        <v>193</v>
      </c>
      <c r="O137" s="103" t="s">
        <v>194</v>
      </c>
      <c r="P137" s="83" t="s">
        <v>250</v>
      </c>
      <c r="Q137" s="41" t="s">
        <v>8</v>
      </c>
      <c r="R137" s="47"/>
      <c r="S137" s="41" t="s">
        <v>8</v>
      </c>
      <c r="T137" s="48">
        <v>100000</v>
      </c>
      <c r="U137" s="48" t="s">
        <v>232</v>
      </c>
      <c r="V137" s="40">
        <v>0</v>
      </c>
      <c r="W137" s="81"/>
      <c r="X137" s="50">
        <f t="shared" si="36"/>
        <v>5.1765112695238594E-4</v>
      </c>
      <c r="Y137" s="51">
        <f t="shared" si="37"/>
        <v>1000</v>
      </c>
      <c r="Z137" s="40">
        <v>0</v>
      </c>
      <c r="AA137" s="68">
        <v>0</v>
      </c>
      <c r="AB137" s="75">
        <v>100000000</v>
      </c>
    </row>
    <row r="138" spans="1:28" x14ac:dyDescent="0.25">
      <c r="A138" s="40">
        <v>135</v>
      </c>
      <c r="B138" s="40">
        <v>1045</v>
      </c>
      <c r="C138" s="40">
        <v>2025</v>
      </c>
      <c r="D138" s="40">
        <v>12</v>
      </c>
      <c r="E138" s="102" t="s">
        <v>235</v>
      </c>
      <c r="F138" s="41"/>
      <c r="G138" s="42">
        <v>29364</v>
      </c>
      <c r="H138" s="42">
        <v>31363</v>
      </c>
      <c r="I138" s="43">
        <f>J129</f>
        <v>28</v>
      </c>
      <c r="J138" s="43">
        <f t="shared" si="34"/>
        <v>32</v>
      </c>
      <c r="K138" s="44">
        <f t="shared" si="35"/>
        <v>31.363</v>
      </c>
      <c r="L138" s="45">
        <f>+K138*1000-SUM($W$3:W138)</f>
        <v>31363</v>
      </c>
      <c r="M138" s="46"/>
      <c r="N138" s="103" t="s">
        <v>6</v>
      </c>
      <c r="O138" s="103" t="s">
        <v>7</v>
      </c>
      <c r="P138" s="84">
        <v>403013</v>
      </c>
      <c r="Q138" s="41" t="s">
        <v>8</v>
      </c>
      <c r="R138" s="47"/>
      <c r="S138" s="41" t="s">
        <v>8</v>
      </c>
      <c r="T138" s="48">
        <v>100000</v>
      </c>
      <c r="U138" s="48" t="s">
        <v>232</v>
      </c>
      <c r="V138" s="40">
        <v>0</v>
      </c>
      <c r="W138" s="81"/>
      <c r="X138" s="50">
        <f t="shared" si="36"/>
        <v>1.0353022539047719E-3</v>
      </c>
      <c r="Y138" s="51">
        <f t="shared" si="37"/>
        <v>2000</v>
      </c>
      <c r="Z138" s="40">
        <v>0</v>
      </c>
      <c r="AA138" s="68">
        <v>0</v>
      </c>
      <c r="AB138" s="75">
        <v>200000000</v>
      </c>
    </row>
    <row r="139" spans="1:28" x14ac:dyDescent="0.25">
      <c r="A139" s="40">
        <v>136</v>
      </c>
      <c r="B139" s="40">
        <v>1045</v>
      </c>
      <c r="C139" s="40">
        <v>2025</v>
      </c>
      <c r="D139" s="40">
        <v>12</v>
      </c>
      <c r="E139" s="81" t="s">
        <v>243</v>
      </c>
      <c r="F139" s="41"/>
      <c r="G139" s="42">
        <v>31364</v>
      </c>
      <c r="H139" s="42">
        <v>34363</v>
      </c>
      <c r="I139" s="43">
        <f>J130</f>
        <v>28</v>
      </c>
      <c r="J139" s="43">
        <f t="shared" si="34"/>
        <v>35</v>
      </c>
      <c r="K139" s="44">
        <f t="shared" si="35"/>
        <v>34.363</v>
      </c>
      <c r="L139" s="45">
        <f>+K139*1000-SUM($W$3:W139)</f>
        <v>34363</v>
      </c>
      <c r="M139" s="46"/>
      <c r="N139" s="103" t="s">
        <v>6</v>
      </c>
      <c r="O139" s="103" t="s">
        <v>7</v>
      </c>
      <c r="P139" s="84">
        <v>1685694</v>
      </c>
      <c r="Q139" s="41" t="s">
        <v>8</v>
      </c>
      <c r="R139" s="47"/>
      <c r="S139" s="41" t="s">
        <v>8</v>
      </c>
      <c r="T139" s="48">
        <v>100000</v>
      </c>
      <c r="U139" s="48" t="s">
        <v>232</v>
      </c>
      <c r="V139" s="40">
        <v>0</v>
      </c>
      <c r="W139" s="81"/>
      <c r="X139" s="50">
        <f t="shared" si="36"/>
        <v>1.5529533808571578E-3</v>
      </c>
      <c r="Y139" s="51">
        <f t="shared" si="37"/>
        <v>3000</v>
      </c>
      <c r="Z139" s="40">
        <v>0</v>
      </c>
      <c r="AA139" s="68">
        <v>0</v>
      </c>
      <c r="AB139" s="75">
        <v>300000000</v>
      </c>
    </row>
    <row r="140" spans="1:28" x14ac:dyDescent="0.25">
      <c r="A140" s="40">
        <v>137</v>
      </c>
      <c r="B140" s="40">
        <v>1045</v>
      </c>
      <c r="C140" s="40">
        <v>2025</v>
      </c>
      <c r="D140" s="40">
        <v>12</v>
      </c>
      <c r="E140" s="81" t="s">
        <v>272</v>
      </c>
      <c r="F140" s="41"/>
      <c r="G140" s="42">
        <v>38364</v>
      </c>
      <c r="H140" s="42">
        <v>43363</v>
      </c>
      <c r="I140" s="43">
        <v>28</v>
      </c>
      <c r="J140" s="43">
        <v>44</v>
      </c>
      <c r="K140" s="44">
        <f t="shared" si="35"/>
        <v>43.363</v>
      </c>
      <c r="L140" s="45">
        <f>+K140*1000-SUM($W$3:W140)</f>
        <v>43363</v>
      </c>
      <c r="M140" s="46"/>
      <c r="N140" s="103" t="s">
        <v>193</v>
      </c>
      <c r="O140" s="103" t="s">
        <v>194</v>
      </c>
      <c r="P140" s="104" t="s">
        <v>273</v>
      </c>
      <c r="Q140" s="41" t="s">
        <v>8</v>
      </c>
      <c r="R140" s="47"/>
      <c r="S140" s="41" t="s">
        <v>8</v>
      </c>
      <c r="T140" s="48">
        <v>100000</v>
      </c>
      <c r="U140" s="48" t="s">
        <v>232</v>
      </c>
      <c r="V140" s="40">
        <v>0</v>
      </c>
      <c r="W140" s="81"/>
      <c r="X140" s="50">
        <f t="shared" si="36"/>
        <v>2.5882556347619295E-3</v>
      </c>
      <c r="Y140" s="51">
        <f t="shared" si="37"/>
        <v>5000</v>
      </c>
      <c r="Z140" s="40">
        <v>0</v>
      </c>
      <c r="AA140" s="68">
        <v>0</v>
      </c>
      <c r="AB140" s="75">
        <v>500000000</v>
      </c>
    </row>
    <row r="141" spans="1:28" x14ac:dyDescent="0.25">
      <c r="A141" s="40">
        <v>138</v>
      </c>
      <c r="B141" s="40">
        <v>1045</v>
      </c>
      <c r="C141" s="40">
        <v>2025</v>
      </c>
      <c r="D141" s="40">
        <v>12</v>
      </c>
      <c r="E141" s="81" t="s">
        <v>272</v>
      </c>
      <c r="F141" s="41"/>
      <c r="G141" s="42">
        <v>43364</v>
      </c>
      <c r="H141" s="42">
        <v>48363</v>
      </c>
      <c r="I141" s="43">
        <v>28</v>
      </c>
      <c r="J141" s="43">
        <v>49</v>
      </c>
      <c r="K141" s="44">
        <f t="shared" si="35"/>
        <v>48.363</v>
      </c>
      <c r="L141" s="45">
        <f>+K141*1000-SUM($W$3:W141)</f>
        <v>48363</v>
      </c>
      <c r="M141" s="46"/>
      <c r="N141" s="103" t="s">
        <v>193</v>
      </c>
      <c r="O141" s="103" t="s">
        <v>194</v>
      </c>
      <c r="P141" s="104" t="s">
        <v>273</v>
      </c>
      <c r="Q141" s="41" t="s">
        <v>8</v>
      </c>
      <c r="R141" s="47"/>
      <c r="S141" s="41" t="s">
        <v>8</v>
      </c>
      <c r="T141" s="48">
        <v>100000</v>
      </c>
      <c r="U141" s="48" t="s">
        <v>232</v>
      </c>
      <c r="V141" s="40">
        <v>0</v>
      </c>
      <c r="W141" s="81"/>
      <c r="X141" s="50">
        <f t="shared" si="36"/>
        <v>2.5882556347619295E-3</v>
      </c>
      <c r="Y141" s="51">
        <f t="shared" si="37"/>
        <v>5000</v>
      </c>
      <c r="Z141" s="40">
        <v>0</v>
      </c>
      <c r="AA141" s="68">
        <v>0</v>
      </c>
      <c r="AB141" s="75">
        <v>500000000</v>
      </c>
    </row>
    <row r="142" spans="1:28" x14ac:dyDescent="0.25">
      <c r="A142" s="40">
        <v>139</v>
      </c>
      <c r="B142" s="40">
        <v>1045</v>
      </c>
      <c r="C142" s="40">
        <v>2025</v>
      </c>
      <c r="D142" s="40">
        <v>12</v>
      </c>
      <c r="E142" s="58" t="s">
        <v>236</v>
      </c>
      <c r="F142" s="41"/>
      <c r="G142" s="42">
        <v>48364</v>
      </c>
      <c r="H142" s="51">
        <v>53363</v>
      </c>
      <c r="I142" s="43">
        <v>49</v>
      </c>
      <c r="J142" s="43">
        <f>ROUNDUP(K142,0)</f>
        <v>54</v>
      </c>
      <c r="K142" s="44">
        <f t="shared" si="35"/>
        <v>53.363</v>
      </c>
      <c r="L142" s="45">
        <f>+K142*1000-SUM($W$3:W142)</f>
        <v>53363</v>
      </c>
      <c r="M142" s="46"/>
      <c r="N142" s="103" t="s">
        <v>193</v>
      </c>
      <c r="O142" s="103" t="s">
        <v>194</v>
      </c>
      <c r="P142" s="104" t="s">
        <v>251</v>
      </c>
      <c r="Q142" s="41" t="s">
        <v>8</v>
      </c>
      <c r="R142" s="47"/>
      <c r="S142" s="41" t="s">
        <v>8</v>
      </c>
      <c r="T142" s="48">
        <v>100000</v>
      </c>
      <c r="U142" s="48" t="s">
        <v>232</v>
      </c>
      <c r="V142" s="40">
        <v>0</v>
      </c>
      <c r="W142" s="40">
        <v>0</v>
      </c>
      <c r="X142" s="50">
        <f t="shared" si="36"/>
        <v>2.5882556347619295E-3</v>
      </c>
      <c r="Y142" s="51">
        <f t="shared" si="37"/>
        <v>5000</v>
      </c>
      <c r="Z142" s="40">
        <v>0</v>
      </c>
      <c r="AA142" s="68">
        <v>0</v>
      </c>
      <c r="AB142" s="75">
        <v>500000000</v>
      </c>
    </row>
    <row r="143" spans="1:28" x14ac:dyDescent="0.25">
      <c r="A143" s="40">
        <v>140</v>
      </c>
      <c r="B143" s="40">
        <v>1045</v>
      </c>
      <c r="C143" s="40">
        <v>2025</v>
      </c>
      <c r="D143" s="40">
        <v>12</v>
      </c>
      <c r="E143" s="81" t="s">
        <v>272</v>
      </c>
      <c r="F143" s="41"/>
      <c r="G143" s="42">
        <v>54364</v>
      </c>
      <c r="H143" s="42">
        <v>56863</v>
      </c>
      <c r="I143" s="42">
        <v>54</v>
      </c>
      <c r="J143" s="42">
        <v>57</v>
      </c>
      <c r="K143" s="44">
        <f t="shared" si="35"/>
        <v>56.863</v>
      </c>
      <c r="L143" s="45"/>
      <c r="M143" s="46"/>
      <c r="N143" s="103" t="s">
        <v>193</v>
      </c>
      <c r="O143" s="103" t="s">
        <v>194</v>
      </c>
      <c r="P143" s="104" t="s">
        <v>273</v>
      </c>
      <c r="Q143" s="41" t="s">
        <v>8</v>
      </c>
      <c r="R143" s="47"/>
      <c r="S143" s="41" t="s">
        <v>8</v>
      </c>
      <c r="T143" s="48">
        <v>100000</v>
      </c>
      <c r="U143" s="48" t="s">
        <v>232</v>
      </c>
      <c r="V143" s="40">
        <v>0</v>
      </c>
      <c r="X143" s="50">
        <f t="shared" si="36"/>
        <v>1.2941278173809647E-3</v>
      </c>
      <c r="Y143" s="51">
        <f t="shared" si="37"/>
        <v>2500</v>
      </c>
      <c r="Z143" s="40">
        <v>0</v>
      </c>
      <c r="AA143" s="68">
        <v>0</v>
      </c>
      <c r="AB143" s="75">
        <v>250000000</v>
      </c>
    </row>
    <row r="144" spans="1:28" x14ac:dyDescent="0.25">
      <c r="A144" s="40">
        <v>141</v>
      </c>
      <c r="B144" s="40">
        <v>1045</v>
      </c>
      <c r="C144" s="40">
        <v>2025</v>
      </c>
      <c r="D144" s="40">
        <v>12</v>
      </c>
      <c r="E144" s="105" t="s">
        <v>271</v>
      </c>
      <c r="F144" s="41"/>
      <c r="G144" s="42">
        <v>56864</v>
      </c>
      <c r="H144" s="42">
        <v>58363</v>
      </c>
      <c r="I144" s="42">
        <v>57</v>
      </c>
      <c r="J144" s="42">
        <v>59</v>
      </c>
      <c r="K144" s="44"/>
      <c r="L144" s="45"/>
      <c r="M144" s="46"/>
      <c r="N144" s="103" t="s">
        <v>6</v>
      </c>
      <c r="O144" s="103" t="s">
        <v>7</v>
      </c>
      <c r="P144" s="54">
        <v>4199271</v>
      </c>
      <c r="Q144" s="41"/>
      <c r="R144" s="47"/>
      <c r="S144" s="41" t="s">
        <v>8</v>
      </c>
      <c r="T144" s="48">
        <v>100000</v>
      </c>
      <c r="U144" s="48" t="s">
        <v>232</v>
      </c>
      <c r="V144" s="40">
        <v>0</v>
      </c>
      <c r="W144" s="40">
        <v>0</v>
      </c>
      <c r="X144" s="50">
        <f t="shared" si="36"/>
        <v>7.764766904285789E-4</v>
      </c>
      <c r="Y144" s="51">
        <f t="shared" si="37"/>
        <v>1500</v>
      </c>
      <c r="Z144" s="40">
        <v>0</v>
      </c>
      <c r="AA144" s="68">
        <v>0</v>
      </c>
      <c r="AB144" s="75">
        <v>150000000</v>
      </c>
    </row>
    <row r="145" spans="1:28" x14ac:dyDescent="0.25">
      <c r="A145" s="40">
        <v>142</v>
      </c>
      <c r="B145" s="40">
        <v>1045</v>
      </c>
      <c r="C145" s="40">
        <v>2024</v>
      </c>
      <c r="D145" s="40">
        <v>12</v>
      </c>
      <c r="E145" s="102" t="s">
        <v>237</v>
      </c>
      <c r="F145" s="41"/>
      <c r="G145" s="42">
        <v>58364</v>
      </c>
      <c r="H145" s="42">
        <v>62863</v>
      </c>
      <c r="I145" s="42">
        <v>59</v>
      </c>
      <c r="J145" s="42">
        <f>ROUNDUP(K145,0)</f>
        <v>63</v>
      </c>
      <c r="K145" s="44">
        <f>+H145/1000</f>
        <v>62.863</v>
      </c>
      <c r="L145" s="45"/>
      <c r="M145" s="103" t="s">
        <v>6</v>
      </c>
      <c r="N145" s="103" t="s">
        <v>6</v>
      </c>
      <c r="O145" s="103" t="s">
        <v>7</v>
      </c>
      <c r="P145" s="54">
        <v>970289</v>
      </c>
      <c r="Q145" s="41" t="s">
        <v>8</v>
      </c>
      <c r="R145" s="47">
        <v>24416</v>
      </c>
      <c r="S145" s="41" t="s">
        <v>8</v>
      </c>
      <c r="T145" s="48">
        <v>100000</v>
      </c>
      <c r="U145" s="48" t="s">
        <v>232</v>
      </c>
      <c r="V145" s="40">
        <v>0</v>
      </c>
      <c r="W145" s="81"/>
      <c r="X145" s="50">
        <f t="shared" si="36"/>
        <v>2.3294300712857368E-3</v>
      </c>
      <c r="Y145" s="51">
        <f t="shared" si="37"/>
        <v>4500</v>
      </c>
      <c r="Z145" s="40">
        <v>0</v>
      </c>
      <c r="AA145" s="68">
        <v>0</v>
      </c>
      <c r="AB145" s="75">
        <v>450000000</v>
      </c>
    </row>
    <row r="146" spans="1:28" x14ac:dyDescent="0.25">
      <c r="A146" s="40">
        <v>143</v>
      </c>
      <c r="B146" s="40">
        <v>1045</v>
      </c>
      <c r="C146" s="40">
        <v>2024</v>
      </c>
      <c r="D146" s="40">
        <v>12</v>
      </c>
      <c r="E146" s="102" t="s">
        <v>242</v>
      </c>
      <c r="F146" s="41"/>
      <c r="G146" s="42">
        <v>62864</v>
      </c>
      <c r="H146" s="42">
        <v>64863</v>
      </c>
      <c r="I146" s="42">
        <v>63</v>
      </c>
      <c r="J146" s="42">
        <v>65</v>
      </c>
      <c r="K146" s="44"/>
      <c r="L146" s="45"/>
      <c r="M146" s="103"/>
      <c r="N146" s="103" t="s">
        <v>193</v>
      </c>
      <c r="O146" s="103" t="s">
        <v>194</v>
      </c>
      <c r="P146" s="54" t="s">
        <v>252</v>
      </c>
      <c r="Q146" s="41" t="s">
        <v>8</v>
      </c>
      <c r="R146" s="47"/>
      <c r="S146" s="41" t="s">
        <v>8</v>
      </c>
      <c r="T146" s="48">
        <v>100000</v>
      </c>
      <c r="U146" s="48" t="s">
        <v>232</v>
      </c>
      <c r="V146" s="40">
        <v>0</v>
      </c>
      <c r="W146" s="81"/>
      <c r="X146" s="50">
        <f t="shared" si="36"/>
        <v>1.0353022539047719E-3</v>
      </c>
      <c r="Y146" s="51">
        <f t="shared" si="37"/>
        <v>2000</v>
      </c>
      <c r="Z146" s="40">
        <v>0</v>
      </c>
      <c r="AA146" s="68">
        <v>0</v>
      </c>
      <c r="AB146" s="75">
        <v>200000000</v>
      </c>
    </row>
    <row r="147" spans="1:28" x14ac:dyDescent="0.25">
      <c r="A147" s="40">
        <v>144</v>
      </c>
      <c r="B147" s="40">
        <v>1045</v>
      </c>
      <c r="C147" s="40">
        <v>2024</v>
      </c>
      <c r="D147" s="40">
        <v>12</v>
      </c>
      <c r="E147" s="81" t="s">
        <v>253</v>
      </c>
      <c r="F147" s="106"/>
      <c r="G147" s="42">
        <v>53364</v>
      </c>
      <c r="H147" s="51">
        <v>54363</v>
      </c>
      <c r="I147" s="43">
        <v>54</v>
      </c>
      <c r="J147" s="43">
        <v>55</v>
      </c>
      <c r="K147" s="44"/>
      <c r="L147" s="45"/>
      <c r="M147" s="103"/>
      <c r="N147" s="40" t="s">
        <v>6</v>
      </c>
      <c r="O147" s="40" t="s">
        <v>7</v>
      </c>
      <c r="P147" s="54">
        <v>2290110</v>
      </c>
      <c r="Q147" s="41" t="s">
        <v>8</v>
      </c>
      <c r="R147" s="47"/>
      <c r="S147" s="41" t="s">
        <v>8</v>
      </c>
      <c r="T147" s="48">
        <v>100000</v>
      </c>
      <c r="U147" s="48" t="s">
        <v>232</v>
      </c>
      <c r="V147" s="40">
        <v>0</v>
      </c>
      <c r="W147" s="81"/>
      <c r="X147" s="50">
        <f t="shared" si="36"/>
        <v>5.1765112695238594E-4</v>
      </c>
      <c r="Y147" s="51">
        <f t="shared" si="37"/>
        <v>1000</v>
      </c>
      <c r="Z147" s="40">
        <v>0</v>
      </c>
      <c r="AA147" s="68">
        <v>0</v>
      </c>
      <c r="AB147" s="75">
        <v>100000000</v>
      </c>
    </row>
    <row r="148" spans="1:28" x14ac:dyDescent="0.25">
      <c r="A148" s="40">
        <v>145</v>
      </c>
      <c r="B148" s="40">
        <v>1045</v>
      </c>
      <c r="C148" s="40">
        <v>2024</v>
      </c>
      <c r="D148" s="40">
        <v>12</v>
      </c>
      <c r="E148" s="81" t="s">
        <v>254</v>
      </c>
      <c r="F148" s="106"/>
      <c r="G148" s="42">
        <v>64864</v>
      </c>
      <c r="H148" s="51">
        <v>67473</v>
      </c>
      <c r="I148" s="43">
        <v>65</v>
      </c>
      <c r="J148" s="43">
        <v>68</v>
      </c>
      <c r="K148" s="44"/>
      <c r="L148" s="45"/>
      <c r="M148" s="103"/>
      <c r="N148" s="40" t="s">
        <v>6</v>
      </c>
      <c r="O148" s="40" t="s">
        <v>7</v>
      </c>
      <c r="P148" s="54">
        <v>898847</v>
      </c>
      <c r="Q148" s="41" t="s">
        <v>8</v>
      </c>
      <c r="R148" s="47"/>
      <c r="S148" s="41" t="s">
        <v>8</v>
      </c>
      <c r="T148" s="48">
        <v>100000</v>
      </c>
      <c r="U148" s="48" t="s">
        <v>232</v>
      </c>
      <c r="V148" s="40">
        <v>0</v>
      </c>
      <c r="W148" s="81"/>
      <c r="X148" s="50">
        <f t="shared" si="36"/>
        <v>1.3510694413457272E-3</v>
      </c>
      <c r="Y148" s="51">
        <v>2610</v>
      </c>
      <c r="Z148" s="40">
        <v>0</v>
      </c>
      <c r="AA148" s="68">
        <v>0</v>
      </c>
      <c r="AB148" s="75">
        <v>261000000</v>
      </c>
    </row>
    <row r="149" spans="1:28" x14ac:dyDescent="0.25">
      <c r="A149" s="40">
        <v>146</v>
      </c>
      <c r="B149" s="40">
        <v>1045</v>
      </c>
      <c r="C149" s="40">
        <v>2024</v>
      </c>
      <c r="D149" s="40">
        <v>12</v>
      </c>
      <c r="E149" s="81" t="s">
        <v>255</v>
      </c>
      <c r="F149" s="106"/>
      <c r="G149" s="42">
        <v>67474</v>
      </c>
      <c r="H149" s="42">
        <v>82473</v>
      </c>
      <c r="I149" s="43">
        <v>68</v>
      </c>
      <c r="J149" s="43">
        <v>83</v>
      </c>
      <c r="K149" s="44"/>
      <c r="L149" s="45"/>
      <c r="M149" s="103"/>
      <c r="N149" s="40" t="s">
        <v>6</v>
      </c>
      <c r="O149" s="40" t="s">
        <v>7</v>
      </c>
      <c r="P149" s="54">
        <v>2038003</v>
      </c>
      <c r="Q149" s="41" t="s">
        <v>8</v>
      </c>
      <c r="R149" s="47"/>
      <c r="S149" s="41" t="s">
        <v>8</v>
      </c>
      <c r="T149" s="48">
        <v>100000</v>
      </c>
      <c r="U149" s="48" t="s">
        <v>232</v>
      </c>
      <c r="V149" s="40">
        <v>0</v>
      </c>
      <c r="W149" s="81"/>
      <c r="X149" s="50">
        <f t="shared" si="36"/>
        <v>7.7647669042857888E-3</v>
      </c>
      <c r="Y149" s="51">
        <v>15000</v>
      </c>
      <c r="Z149" s="40">
        <v>0</v>
      </c>
      <c r="AA149" s="68">
        <v>0</v>
      </c>
      <c r="AB149" s="75">
        <v>1500000000</v>
      </c>
    </row>
    <row r="150" spans="1:28" x14ac:dyDescent="0.25">
      <c r="A150" s="40">
        <v>147</v>
      </c>
      <c r="B150" s="40">
        <v>1045</v>
      </c>
      <c r="C150" s="40">
        <v>2024</v>
      </c>
      <c r="D150" s="40">
        <v>12</v>
      </c>
      <c r="E150" s="81" t="s">
        <v>256</v>
      </c>
      <c r="F150" s="106"/>
      <c r="G150" s="42">
        <v>34364</v>
      </c>
      <c r="H150" s="42">
        <v>36363</v>
      </c>
      <c r="I150" s="43">
        <v>35</v>
      </c>
      <c r="J150" s="43">
        <v>37</v>
      </c>
      <c r="K150" s="44"/>
      <c r="L150" s="45"/>
      <c r="M150" s="103"/>
      <c r="N150" s="40" t="s">
        <v>6</v>
      </c>
      <c r="O150" s="40" t="s">
        <v>7</v>
      </c>
      <c r="P150" s="54">
        <v>2290110</v>
      </c>
      <c r="Q150" s="41" t="s">
        <v>8</v>
      </c>
      <c r="R150" s="47"/>
      <c r="S150" s="41" t="s">
        <v>8</v>
      </c>
      <c r="T150" s="48">
        <v>100000</v>
      </c>
      <c r="U150" s="48" t="s">
        <v>232</v>
      </c>
      <c r="V150" s="40">
        <v>0</v>
      </c>
      <c r="W150" s="81"/>
      <c r="X150" s="50">
        <f t="shared" si="36"/>
        <v>1.0353022539047719E-3</v>
      </c>
      <c r="Y150" s="51">
        <v>2000</v>
      </c>
      <c r="Z150" s="40">
        <v>0</v>
      </c>
      <c r="AA150" s="68">
        <v>0</v>
      </c>
      <c r="AB150" s="75">
        <v>200000000</v>
      </c>
    </row>
    <row r="151" spans="1:28" x14ac:dyDescent="0.25">
      <c r="A151" s="40">
        <v>148</v>
      </c>
      <c r="B151" s="40">
        <v>1045</v>
      </c>
      <c r="C151" s="40">
        <v>2024</v>
      </c>
      <c r="D151" s="40">
        <v>12</v>
      </c>
      <c r="E151" s="81" t="s">
        <v>257</v>
      </c>
      <c r="F151" s="106"/>
      <c r="G151" s="42">
        <v>82474</v>
      </c>
      <c r="H151" s="42">
        <v>84473</v>
      </c>
      <c r="I151" s="43">
        <v>83</v>
      </c>
      <c r="J151" s="43">
        <v>85</v>
      </c>
      <c r="K151" s="44"/>
      <c r="L151" s="45"/>
      <c r="M151" s="103"/>
      <c r="N151" s="40" t="s">
        <v>6</v>
      </c>
      <c r="O151" s="40" t="s">
        <v>7</v>
      </c>
      <c r="P151" s="54">
        <v>252794</v>
      </c>
      <c r="Q151" s="41" t="s">
        <v>8</v>
      </c>
      <c r="R151" s="47"/>
      <c r="S151" s="41" t="s">
        <v>8</v>
      </c>
      <c r="T151" s="48">
        <v>100000</v>
      </c>
      <c r="U151" s="48" t="s">
        <v>232</v>
      </c>
      <c r="V151" s="40">
        <v>0</v>
      </c>
      <c r="W151" s="81"/>
      <c r="X151" s="50">
        <f t="shared" si="36"/>
        <v>1.0353022539047719E-3</v>
      </c>
      <c r="Y151" s="51">
        <v>2000</v>
      </c>
      <c r="Z151" s="40">
        <v>0</v>
      </c>
      <c r="AA151" s="68">
        <v>0</v>
      </c>
      <c r="AB151" s="75">
        <v>200000000</v>
      </c>
    </row>
    <row r="152" spans="1:28" x14ac:dyDescent="0.25">
      <c r="A152" s="40">
        <v>149</v>
      </c>
      <c r="B152" s="40">
        <v>1045</v>
      </c>
      <c r="C152" s="40">
        <v>2024</v>
      </c>
      <c r="D152" s="40">
        <v>12</v>
      </c>
      <c r="E152" s="81" t="s">
        <v>258</v>
      </c>
      <c r="F152" s="106"/>
      <c r="G152" s="42">
        <v>84474</v>
      </c>
      <c r="H152" s="42">
        <v>86473</v>
      </c>
      <c r="I152" s="43">
        <v>85</v>
      </c>
      <c r="J152" s="43">
        <v>87</v>
      </c>
      <c r="K152" s="44"/>
      <c r="L152" s="45"/>
      <c r="M152" s="103"/>
      <c r="N152" s="40" t="s">
        <v>6</v>
      </c>
      <c r="O152" s="40" t="s">
        <v>7</v>
      </c>
      <c r="P152" s="54">
        <v>143840</v>
      </c>
      <c r="Q152" s="41" t="s">
        <v>8</v>
      </c>
      <c r="R152" s="47"/>
      <c r="S152" s="41" t="s">
        <v>8</v>
      </c>
      <c r="T152" s="48">
        <v>100000</v>
      </c>
      <c r="U152" s="48" t="s">
        <v>232</v>
      </c>
      <c r="V152" s="40">
        <v>0</v>
      </c>
      <c r="W152" s="81"/>
      <c r="X152" s="50">
        <f t="shared" si="36"/>
        <v>1.0353022539047719E-3</v>
      </c>
      <c r="Y152" s="51">
        <v>2000</v>
      </c>
      <c r="Z152" s="40">
        <v>0</v>
      </c>
      <c r="AA152" s="68">
        <v>0</v>
      </c>
      <c r="AB152" s="75">
        <v>200000000</v>
      </c>
    </row>
    <row r="153" spans="1:28" x14ac:dyDescent="0.25">
      <c r="A153" s="40">
        <v>150</v>
      </c>
      <c r="B153" s="40">
        <v>1045</v>
      </c>
      <c r="C153" s="40">
        <v>2024</v>
      </c>
      <c r="D153" s="40">
        <v>12</v>
      </c>
      <c r="E153" s="81" t="s">
        <v>259</v>
      </c>
      <c r="F153" s="106"/>
      <c r="G153" s="42">
        <v>86474</v>
      </c>
      <c r="H153" s="42">
        <v>92610</v>
      </c>
      <c r="I153" s="43">
        <v>87</v>
      </c>
      <c r="J153" s="43">
        <v>93</v>
      </c>
      <c r="K153" s="44"/>
      <c r="L153" s="45"/>
      <c r="M153" s="103"/>
      <c r="N153" s="40" t="s">
        <v>6</v>
      </c>
      <c r="O153" s="40" t="s">
        <v>7</v>
      </c>
      <c r="P153" s="54">
        <v>753588</v>
      </c>
      <c r="Q153" s="41" t="s">
        <v>8</v>
      </c>
      <c r="R153" s="47"/>
      <c r="S153" s="41" t="s">
        <v>8</v>
      </c>
      <c r="T153" s="48">
        <v>100000</v>
      </c>
      <c r="U153" s="48" t="s">
        <v>232</v>
      </c>
      <c r="V153" s="40">
        <v>0</v>
      </c>
      <c r="W153" s="81"/>
      <c r="X153" s="50">
        <f t="shared" si="36"/>
        <v>3.1768249661067926E-3</v>
      </c>
      <c r="Y153" s="51">
        <v>6137</v>
      </c>
      <c r="Z153" s="40">
        <v>0</v>
      </c>
      <c r="AA153" s="68">
        <v>0</v>
      </c>
      <c r="AB153" s="75">
        <v>613700000</v>
      </c>
    </row>
    <row r="154" spans="1:28" x14ac:dyDescent="0.25">
      <c r="A154" s="40">
        <v>151</v>
      </c>
      <c r="B154" s="40">
        <v>1045</v>
      </c>
      <c r="C154" s="40">
        <v>2024</v>
      </c>
      <c r="D154" s="40">
        <v>12</v>
      </c>
      <c r="E154" s="81" t="s">
        <v>260</v>
      </c>
      <c r="F154" s="106"/>
      <c r="G154" s="42">
        <v>92611</v>
      </c>
      <c r="H154" s="42">
        <v>95280</v>
      </c>
      <c r="I154" s="43">
        <v>93</v>
      </c>
      <c r="J154" s="43">
        <v>96</v>
      </c>
      <c r="K154" s="44"/>
      <c r="L154" s="45"/>
      <c r="M154" s="103"/>
      <c r="N154" s="40" t="s">
        <v>6</v>
      </c>
      <c r="O154" s="40" t="s">
        <v>7</v>
      </c>
      <c r="P154" s="54">
        <v>898847</v>
      </c>
      <c r="Q154" s="41" t="s">
        <v>8</v>
      </c>
      <c r="R154" s="47"/>
      <c r="S154" s="41" t="s">
        <v>8</v>
      </c>
      <c r="T154" s="48">
        <v>100000</v>
      </c>
      <c r="U154" s="48" t="s">
        <v>232</v>
      </c>
      <c r="V154" s="40">
        <v>0</v>
      </c>
      <c r="W154" s="81"/>
      <c r="X154" s="50">
        <f t="shared" si="36"/>
        <v>1.3821285089628704E-3</v>
      </c>
      <c r="Y154" s="51">
        <v>2670</v>
      </c>
      <c r="Z154" s="40">
        <v>0</v>
      </c>
      <c r="AA154" s="68">
        <v>0</v>
      </c>
      <c r="AB154" s="75">
        <v>267000000</v>
      </c>
    </row>
    <row r="155" spans="1:28" x14ac:dyDescent="0.25">
      <c r="A155" s="40">
        <v>152</v>
      </c>
      <c r="B155" s="40">
        <v>1045</v>
      </c>
      <c r="C155" s="40">
        <v>2024</v>
      </c>
      <c r="D155" s="40">
        <v>12</v>
      </c>
      <c r="E155" s="81" t="s">
        <v>260</v>
      </c>
      <c r="F155" s="106"/>
      <c r="G155" s="42">
        <v>95281</v>
      </c>
      <c r="H155" s="42">
        <v>97280</v>
      </c>
      <c r="I155" s="43">
        <v>96</v>
      </c>
      <c r="J155" s="43">
        <v>98</v>
      </c>
      <c r="K155" s="44"/>
      <c r="L155" s="45"/>
      <c r="M155" s="103"/>
      <c r="N155" s="40" t="s">
        <v>6</v>
      </c>
      <c r="O155" s="40" t="s">
        <v>7</v>
      </c>
      <c r="P155" s="54">
        <v>898847</v>
      </c>
      <c r="Q155" s="41" t="s">
        <v>8</v>
      </c>
      <c r="R155" s="47"/>
      <c r="S155" s="41" t="s">
        <v>8</v>
      </c>
      <c r="T155" s="48">
        <v>100000</v>
      </c>
      <c r="U155" s="48" t="s">
        <v>232</v>
      </c>
      <c r="V155" s="40">
        <v>0</v>
      </c>
      <c r="W155" s="81"/>
      <c r="X155" s="50">
        <f t="shared" si="36"/>
        <v>1.0353022539047719E-3</v>
      </c>
      <c r="Y155" s="51">
        <v>2000</v>
      </c>
      <c r="Z155" s="40">
        <v>0</v>
      </c>
      <c r="AA155" s="68">
        <v>0</v>
      </c>
      <c r="AB155" s="75">
        <v>200000000</v>
      </c>
    </row>
    <row r="156" spans="1:28" x14ac:dyDescent="0.25">
      <c r="A156" s="40">
        <v>153</v>
      </c>
      <c r="B156" s="40">
        <v>1045</v>
      </c>
      <c r="C156" s="40">
        <v>2024</v>
      </c>
      <c r="D156" s="40">
        <v>12</v>
      </c>
      <c r="E156" s="81" t="s">
        <v>261</v>
      </c>
      <c r="F156" s="106"/>
      <c r="G156" s="42">
        <v>36364</v>
      </c>
      <c r="H156" s="42">
        <v>38363</v>
      </c>
      <c r="I156" s="43">
        <v>37</v>
      </c>
      <c r="J156" s="43">
        <v>39</v>
      </c>
      <c r="K156" s="44"/>
      <c r="L156" s="45"/>
      <c r="M156" s="103"/>
      <c r="N156" s="40" t="s">
        <v>6</v>
      </c>
      <c r="O156" s="40" t="s">
        <v>7</v>
      </c>
      <c r="P156" s="54">
        <v>3784855</v>
      </c>
      <c r="Q156" s="41" t="s">
        <v>8</v>
      </c>
      <c r="R156" s="47">
        <v>31833</v>
      </c>
      <c r="S156" s="41" t="s">
        <v>8</v>
      </c>
      <c r="T156" s="48">
        <v>100000</v>
      </c>
      <c r="U156" s="48" t="s">
        <v>232</v>
      </c>
      <c r="V156" s="40">
        <v>0</v>
      </c>
      <c r="W156" s="81"/>
      <c r="X156" s="50">
        <f t="shared" si="36"/>
        <v>1.0353022539047719E-3</v>
      </c>
      <c r="Y156" s="51">
        <v>2000</v>
      </c>
      <c r="Z156" s="40">
        <v>0</v>
      </c>
      <c r="AA156" s="68">
        <v>0</v>
      </c>
      <c r="AB156" s="75">
        <v>200000000</v>
      </c>
    </row>
    <row r="157" spans="1:28" x14ac:dyDescent="0.25">
      <c r="A157" s="40">
        <v>154</v>
      </c>
      <c r="B157" s="40">
        <v>1045</v>
      </c>
      <c r="C157" s="40">
        <v>2024</v>
      </c>
      <c r="D157" s="40">
        <v>12</v>
      </c>
      <c r="E157" s="81" t="s">
        <v>262</v>
      </c>
      <c r="F157" s="106"/>
      <c r="G157" s="42">
        <v>97281</v>
      </c>
      <c r="H157" s="42">
        <v>99500</v>
      </c>
      <c r="I157" s="43">
        <v>98</v>
      </c>
      <c r="J157" s="43">
        <v>100</v>
      </c>
      <c r="K157" s="44"/>
      <c r="L157" s="45"/>
      <c r="M157" s="103"/>
      <c r="N157" s="40" t="s">
        <v>245</v>
      </c>
      <c r="O157" s="40" t="s">
        <v>194</v>
      </c>
      <c r="P157" s="85">
        <v>80092631</v>
      </c>
      <c r="Q157" s="41" t="s">
        <v>8</v>
      </c>
      <c r="R157" s="47"/>
      <c r="S157" s="41" t="s">
        <v>8</v>
      </c>
      <c r="T157" s="48">
        <v>100000</v>
      </c>
      <c r="U157" s="48" t="s">
        <v>232</v>
      </c>
      <c r="V157" s="40">
        <v>0</v>
      </c>
      <c r="W157" s="81"/>
      <c r="X157" s="50">
        <f t="shared" si="36"/>
        <v>1.1491855018342968E-3</v>
      </c>
      <c r="Y157" s="51">
        <v>2220</v>
      </c>
      <c r="Z157" s="40">
        <v>0</v>
      </c>
      <c r="AA157" s="68">
        <v>0</v>
      </c>
      <c r="AB157" s="75">
        <v>222000000</v>
      </c>
    </row>
    <row r="158" spans="1:28" x14ac:dyDescent="0.25">
      <c r="A158" s="40">
        <v>155</v>
      </c>
      <c r="B158" s="40">
        <v>1045</v>
      </c>
      <c r="C158" s="40">
        <v>2024</v>
      </c>
      <c r="D158" s="40">
        <v>12</v>
      </c>
      <c r="E158" s="81" t="s">
        <v>263</v>
      </c>
      <c r="F158" s="106"/>
      <c r="G158" s="42">
        <v>99501</v>
      </c>
      <c r="H158" s="42">
        <v>100000</v>
      </c>
      <c r="I158" s="43">
        <v>100</v>
      </c>
      <c r="J158" s="43">
        <v>100</v>
      </c>
      <c r="K158" s="44"/>
      <c r="L158" s="45"/>
      <c r="M158" s="103"/>
      <c r="N158" s="40" t="s">
        <v>6</v>
      </c>
      <c r="O158" s="40" t="s">
        <v>7</v>
      </c>
      <c r="P158" s="86">
        <v>1689366</v>
      </c>
      <c r="Q158" s="41" t="s">
        <v>8</v>
      </c>
      <c r="R158" s="47"/>
      <c r="S158" s="41" t="s">
        <v>8</v>
      </c>
      <c r="T158" s="48">
        <v>100000</v>
      </c>
      <c r="U158" s="48" t="s">
        <v>232</v>
      </c>
      <c r="V158" s="40">
        <v>0</v>
      </c>
      <c r="W158" s="81"/>
      <c r="X158" s="50">
        <f t="shared" si="36"/>
        <v>2.5882556347619297E-4</v>
      </c>
      <c r="Y158" s="51">
        <v>500</v>
      </c>
      <c r="Z158" s="40">
        <v>0</v>
      </c>
      <c r="AA158" s="68">
        <v>0</v>
      </c>
      <c r="AB158" s="75">
        <v>50000000</v>
      </c>
    </row>
    <row r="159" spans="1:28" x14ac:dyDescent="0.25">
      <c r="A159" s="40">
        <v>156</v>
      </c>
      <c r="B159" s="40">
        <v>1045</v>
      </c>
      <c r="C159" s="40">
        <v>2024</v>
      </c>
      <c r="D159" s="68">
        <v>6</v>
      </c>
      <c r="E159" s="59" t="s">
        <v>94</v>
      </c>
      <c r="F159" s="87"/>
      <c r="G159" s="42">
        <v>1</v>
      </c>
      <c r="H159" s="42">
        <v>784</v>
      </c>
      <c r="I159" s="43">
        <v>1</v>
      </c>
      <c r="J159" s="43">
        <f t="shared" ref="J159:J179" si="38">ROUNDUP(K159,0)</f>
        <v>1</v>
      </c>
      <c r="K159" s="44">
        <f t="shared" ref="K159:K179" si="39">+H159/1000</f>
        <v>0.78400000000000003</v>
      </c>
      <c r="L159" s="45">
        <f>+J159*1000-SUM($Y$126:Y191)</f>
        <v>-2104561</v>
      </c>
      <c r="M159" s="46"/>
      <c r="N159" s="40" t="s">
        <v>6</v>
      </c>
      <c r="O159" s="40" t="s">
        <v>7</v>
      </c>
      <c r="P159" s="54">
        <v>1240189</v>
      </c>
      <c r="Q159" s="41" t="s">
        <v>8</v>
      </c>
      <c r="R159" s="47">
        <v>25688</v>
      </c>
      <c r="S159" s="41" t="s">
        <v>8</v>
      </c>
      <c r="T159" s="48">
        <v>100000</v>
      </c>
      <c r="U159" s="48" t="s">
        <v>264</v>
      </c>
      <c r="V159" s="40">
        <v>0</v>
      </c>
      <c r="W159" s="81"/>
      <c r="X159" s="50">
        <f t="shared" si="36"/>
        <v>4.0583848353067058E-4</v>
      </c>
      <c r="Y159" s="51">
        <f t="shared" ref="Y159:Y179" si="40">AB159/100000</f>
        <v>784</v>
      </c>
      <c r="Z159" s="40">
        <v>0</v>
      </c>
      <c r="AA159" s="68">
        <v>0</v>
      </c>
      <c r="AB159" s="75">
        <v>78400000</v>
      </c>
    </row>
    <row r="160" spans="1:28" x14ac:dyDescent="0.25">
      <c r="A160" s="40">
        <v>157</v>
      </c>
      <c r="B160" s="40">
        <v>1045</v>
      </c>
      <c r="C160" s="40">
        <v>2024</v>
      </c>
      <c r="D160" s="68">
        <v>6</v>
      </c>
      <c r="E160" s="59" t="s">
        <v>233</v>
      </c>
      <c r="F160" s="87"/>
      <c r="G160" s="42">
        <v>785</v>
      </c>
      <c r="H160" s="42">
        <v>1284</v>
      </c>
      <c r="I160" s="43">
        <f t="shared" ref="I160:I179" si="41">+J159</f>
        <v>1</v>
      </c>
      <c r="J160" s="43">
        <f t="shared" si="38"/>
        <v>2</v>
      </c>
      <c r="K160" s="44">
        <f t="shared" si="39"/>
        <v>1.284</v>
      </c>
      <c r="L160" s="45">
        <f>+J160*1000-SUM($Y$139:Y179)</f>
        <v>-166637</v>
      </c>
      <c r="M160" s="46"/>
      <c r="N160" s="40" t="s">
        <v>6</v>
      </c>
      <c r="O160" s="40" t="s">
        <v>7</v>
      </c>
      <c r="P160" s="54">
        <v>1026287</v>
      </c>
      <c r="Q160" s="41" t="s">
        <v>8</v>
      </c>
      <c r="R160" s="47">
        <v>25207</v>
      </c>
      <c r="S160" s="41" t="s">
        <v>8</v>
      </c>
      <c r="T160" s="48">
        <v>100000</v>
      </c>
      <c r="U160" s="48" t="s">
        <v>264</v>
      </c>
      <c r="V160" s="40">
        <v>0</v>
      </c>
      <c r="W160" s="81"/>
      <c r="X160" s="50">
        <f t="shared" si="36"/>
        <v>2.5882556347619297E-4</v>
      </c>
      <c r="Y160" s="51">
        <f t="shared" si="40"/>
        <v>500</v>
      </c>
      <c r="Z160" s="40">
        <v>0</v>
      </c>
      <c r="AA160" s="68">
        <v>0</v>
      </c>
      <c r="AB160" s="75">
        <v>50000000</v>
      </c>
    </row>
    <row r="161" spans="1:28" x14ac:dyDescent="0.25">
      <c r="A161" s="40">
        <v>158</v>
      </c>
      <c r="B161" s="40">
        <v>1045</v>
      </c>
      <c r="C161" s="40">
        <v>2024</v>
      </c>
      <c r="D161" s="68">
        <v>6</v>
      </c>
      <c r="E161" s="59" t="s">
        <v>93</v>
      </c>
      <c r="F161" s="87"/>
      <c r="G161" s="42">
        <v>1285</v>
      </c>
      <c r="H161" s="42">
        <v>1784</v>
      </c>
      <c r="I161" s="43">
        <f t="shared" si="41"/>
        <v>2</v>
      </c>
      <c r="J161" s="43">
        <f t="shared" si="38"/>
        <v>2</v>
      </c>
      <c r="K161" s="44">
        <f t="shared" si="39"/>
        <v>1.784</v>
      </c>
      <c r="L161" s="45">
        <f>+J161*1000-SUM($Y$140:Y179)</f>
        <v>-163637</v>
      </c>
      <c r="M161" s="46"/>
      <c r="N161" s="40" t="s">
        <v>6</v>
      </c>
      <c r="O161" s="40" t="s">
        <v>7</v>
      </c>
      <c r="P161" s="54">
        <v>568561</v>
      </c>
      <c r="Q161" s="41" t="s">
        <v>8</v>
      </c>
      <c r="R161" s="47">
        <v>24451</v>
      </c>
      <c r="S161" s="41" t="s">
        <v>8</v>
      </c>
      <c r="T161" s="48">
        <v>100000</v>
      </c>
      <c r="U161" s="48" t="s">
        <v>264</v>
      </c>
      <c r="V161" s="40">
        <v>0</v>
      </c>
      <c r="W161" s="81"/>
      <c r="X161" s="50">
        <f t="shared" si="36"/>
        <v>2.5882556347619297E-4</v>
      </c>
      <c r="Y161" s="51">
        <f t="shared" si="40"/>
        <v>500</v>
      </c>
      <c r="Z161" s="40">
        <v>0</v>
      </c>
      <c r="AA161" s="68">
        <v>0</v>
      </c>
      <c r="AB161" s="75">
        <v>50000000</v>
      </c>
    </row>
    <row r="162" spans="1:28" x14ac:dyDescent="0.25">
      <c r="A162" s="40">
        <v>159</v>
      </c>
      <c r="B162" s="40">
        <v>1045</v>
      </c>
      <c r="C162" s="40">
        <v>2024</v>
      </c>
      <c r="D162" s="68">
        <v>6</v>
      </c>
      <c r="E162" s="58" t="s">
        <v>161</v>
      </c>
      <c r="F162" s="87"/>
      <c r="G162" s="42">
        <v>1785</v>
      </c>
      <c r="H162" s="42">
        <v>2284</v>
      </c>
      <c r="I162" s="43">
        <f t="shared" si="41"/>
        <v>2</v>
      </c>
      <c r="J162" s="43">
        <f t="shared" si="38"/>
        <v>3</v>
      </c>
      <c r="K162" s="44">
        <f t="shared" si="39"/>
        <v>2.2839999999999998</v>
      </c>
      <c r="L162" s="45">
        <f>+J162*1000-SUM($Y$141:Y179)</f>
        <v>-157637</v>
      </c>
      <c r="M162" s="46"/>
      <c r="N162" s="40" t="s">
        <v>6</v>
      </c>
      <c r="O162" s="40" t="s">
        <v>7</v>
      </c>
      <c r="P162" s="54">
        <v>568560</v>
      </c>
      <c r="Q162" s="41" t="s">
        <v>8</v>
      </c>
      <c r="R162" s="47">
        <v>22395</v>
      </c>
      <c r="S162" s="41" t="s">
        <v>8</v>
      </c>
      <c r="T162" s="48">
        <v>100000</v>
      </c>
      <c r="U162" s="48" t="s">
        <v>264</v>
      </c>
      <c r="V162" s="40">
        <v>0</v>
      </c>
      <c r="W162" s="81"/>
      <c r="X162" s="50">
        <f t="shared" si="36"/>
        <v>2.5882556347619297E-4</v>
      </c>
      <c r="Y162" s="51">
        <f t="shared" si="40"/>
        <v>500</v>
      </c>
      <c r="Z162" s="40">
        <v>0</v>
      </c>
      <c r="AA162" s="68">
        <v>0</v>
      </c>
      <c r="AB162" s="75">
        <v>50000000</v>
      </c>
    </row>
    <row r="163" spans="1:28" x14ac:dyDescent="0.25">
      <c r="A163" s="40">
        <v>160</v>
      </c>
      <c r="B163" s="40">
        <v>1045</v>
      </c>
      <c r="C163" s="40">
        <v>2024</v>
      </c>
      <c r="D163" s="68">
        <v>6</v>
      </c>
      <c r="E163" s="100" t="s">
        <v>137</v>
      </c>
      <c r="F163" s="87"/>
      <c r="G163" s="42">
        <v>2285</v>
      </c>
      <c r="H163" s="42">
        <v>2551</v>
      </c>
      <c r="I163" s="43">
        <f t="shared" si="41"/>
        <v>3</v>
      </c>
      <c r="J163" s="43">
        <f t="shared" si="38"/>
        <v>3</v>
      </c>
      <c r="K163" s="44">
        <f t="shared" si="39"/>
        <v>2.5510000000000002</v>
      </c>
      <c r="L163" s="45">
        <f>+J163*1000-SUM($Y$149:Y172)</f>
        <v>-37657</v>
      </c>
      <c r="M163" s="46"/>
      <c r="N163" s="40" t="s">
        <v>6</v>
      </c>
      <c r="O163" s="40" t="s">
        <v>7</v>
      </c>
      <c r="P163" s="54">
        <v>1471307</v>
      </c>
      <c r="Q163" s="41" t="s">
        <v>8</v>
      </c>
      <c r="R163" s="47">
        <v>26361</v>
      </c>
      <c r="S163" s="41" t="s">
        <v>8</v>
      </c>
      <c r="T163" s="48">
        <v>100000</v>
      </c>
      <c r="U163" s="48" t="s">
        <v>264</v>
      </c>
      <c r="V163" s="40">
        <v>0</v>
      </c>
      <c r="W163" s="81"/>
      <c r="X163" s="50">
        <f t="shared" si="36"/>
        <v>1.3821285089628705E-4</v>
      </c>
      <c r="Y163" s="51">
        <f t="shared" si="40"/>
        <v>267</v>
      </c>
      <c r="Z163" s="40">
        <v>0</v>
      </c>
      <c r="AA163" s="68">
        <v>0</v>
      </c>
      <c r="AB163" s="75">
        <v>26700000</v>
      </c>
    </row>
    <row r="164" spans="1:28" x14ac:dyDescent="0.25">
      <c r="A164" s="40">
        <v>161</v>
      </c>
      <c r="B164" s="40">
        <v>1045</v>
      </c>
      <c r="C164" s="40">
        <v>2024</v>
      </c>
      <c r="D164" s="68">
        <v>6</v>
      </c>
      <c r="E164" s="59" t="s">
        <v>92</v>
      </c>
      <c r="F164" s="87"/>
      <c r="G164" s="42">
        <v>2552</v>
      </c>
      <c r="H164" s="42">
        <v>2791</v>
      </c>
      <c r="I164" s="43">
        <f t="shared" si="41"/>
        <v>3</v>
      </c>
      <c r="J164" s="43">
        <f t="shared" si="38"/>
        <v>3</v>
      </c>
      <c r="K164" s="44">
        <f t="shared" si="39"/>
        <v>2.7909999999999999</v>
      </c>
      <c r="L164" s="45">
        <f>+J164*1000-SUM($Y$154:Y168)</f>
        <v>-10128</v>
      </c>
      <c r="M164" s="46"/>
      <c r="N164" s="40" t="s">
        <v>6</v>
      </c>
      <c r="O164" s="40" t="s">
        <v>7</v>
      </c>
      <c r="P164" s="54">
        <v>568559</v>
      </c>
      <c r="Q164" s="41" t="s">
        <v>8</v>
      </c>
      <c r="R164" s="47">
        <v>25094</v>
      </c>
      <c r="S164" s="41" t="s">
        <v>8</v>
      </c>
      <c r="T164" s="48">
        <v>100000</v>
      </c>
      <c r="U164" s="48" t="s">
        <v>264</v>
      </c>
      <c r="V164" s="40">
        <v>0</v>
      </c>
      <c r="W164" s="81"/>
      <c r="X164" s="50">
        <f t="shared" si="36"/>
        <v>1.2423627046857262E-4</v>
      </c>
      <c r="Y164" s="51">
        <f t="shared" si="40"/>
        <v>240</v>
      </c>
      <c r="Z164" s="40">
        <v>0</v>
      </c>
      <c r="AA164" s="68">
        <v>0</v>
      </c>
      <c r="AB164" s="75">
        <v>24000000</v>
      </c>
    </row>
    <row r="165" spans="1:28" x14ac:dyDescent="0.25">
      <c r="A165" s="40">
        <v>162</v>
      </c>
      <c r="B165" s="40">
        <v>1045</v>
      </c>
      <c r="C165" s="40">
        <v>2024</v>
      </c>
      <c r="D165" s="68">
        <v>6</v>
      </c>
      <c r="E165" s="59" t="s">
        <v>98</v>
      </c>
      <c r="F165" s="87"/>
      <c r="G165" s="42">
        <v>2792</v>
      </c>
      <c r="H165" s="42">
        <v>3028</v>
      </c>
      <c r="I165" s="43">
        <f t="shared" si="41"/>
        <v>3</v>
      </c>
      <c r="J165" s="43">
        <f t="shared" si="38"/>
        <v>4</v>
      </c>
      <c r="K165" s="44">
        <f t="shared" si="39"/>
        <v>3.028</v>
      </c>
      <c r="L165" s="45">
        <f>+J165*1000-SUM($Y$158:Y165)</f>
        <v>472</v>
      </c>
      <c r="M165" s="46"/>
      <c r="N165" s="40" t="s">
        <v>6</v>
      </c>
      <c r="O165" s="40" t="s">
        <v>7</v>
      </c>
      <c r="P165" s="54">
        <v>507340</v>
      </c>
      <c r="Q165" s="41" t="s">
        <v>8</v>
      </c>
      <c r="R165" s="47">
        <v>23836</v>
      </c>
      <c r="S165" s="41" t="s">
        <v>8</v>
      </c>
      <c r="T165" s="48">
        <v>100000</v>
      </c>
      <c r="U165" s="48" t="s">
        <v>264</v>
      </c>
      <c r="V165" s="40">
        <v>0</v>
      </c>
      <c r="W165" s="81"/>
      <c r="X165" s="50">
        <f t="shared" ref="X165:X179" si="42">AB165/$AB$3</f>
        <v>1.2268331708771546E-4</v>
      </c>
      <c r="Y165" s="51">
        <f t="shared" si="40"/>
        <v>237</v>
      </c>
      <c r="Z165" s="40">
        <v>0</v>
      </c>
      <c r="AA165" s="68">
        <v>0</v>
      </c>
      <c r="AB165" s="75">
        <v>23700000</v>
      </c>
    </row>
    <row r="166" spans="1:28" x14ac:dyDescent="0.25">
      <c r="A166" s="40">
        <v>163</v>
      </c>
      <c r="B166" s="40">
        <v>1045</v>
      </c>
      <c r="C166" s="40">
        <v>2024</v>
      </c>
      <c r="D166" s="68">
        <v>6</v>
      </c>
      <c r="E166" s="59" t="s">
        <v>99</v>
      </c>
      <c r="F166" s="87"/>
      <c r="G166" s="42">
        <v>3029</v>
      </c>
      <c r="H166" s="42">
        <v>3265</v>
      </c>
      <c r="I166" s="43">
        <f t="shared" si="41"/>
        <v>4</v>
      </c>
      <c r="J166" s="43">
        <f t="shared" si="38"/>
        <v>4</v>
      </c>
      <c r="K166" s="44">
        <f t="shared" si="39"/>
        <v>3.2650000000000001</v>
      </c>
      <c r="L166" s="45">
        <f>+J166*1000-SUM($Y$158:Y166)</f>
        <v>235</v>
      </c>
      <c r="M166" s="46"/>
      <c r="N166" s="40" t="s">
        <v>6</v>
      </c>
      <c r="O166" s="40" t="s">
        <v>7</v>
      </c>
      <c r="P166" s="54">
        <v>507668</v>
      </c>
      <c r="Q166" s="41" t="s">
        <v>8</v>
      </c>
      <c r="R166" s="47">
        <v>24416</v>
      </c>
      <c r="S166" s="41" t="s">
        <v>8</v>
      </c>
      <c r="T166" s="48">
        <v>100000</v>
      </c>
      <c r="U166" s="48" t="s">
        <v>264</v>
      </c>
      <c r="V166" s="40">
        <v>0</v>
      </c>
      <c r="W166" s="81"/>
      <c r="X166" s="50">
        <f t="shared" si="42"/>
        <v>1.2268331708771546E-4</v>
      </c>
      <c r="Y166" s="51">
        <f t="shared" si="40"/>
        <v>237</v>
      </c>
      <c r="Z166" s="40">
        <v>0</v>
      </c>
      <c r="AA166" s="68">
        <v>0</v>
      </c>
      <c r="AB166" s="75">
        <v>23700000</v>
      </c>
    </row>
    <row r="167" spans="1:28" x14ac:dyDescent="0.25">
      <c r="A167" s="40">
        <v>164</v>
      </c>
      <c r="B167" s="40">
        <v>1045</v>
      </c>
      <c r="C167" s="40">
        <v>2024</v>
      </c>
      <c r="D167" s="68">
        <v>6</v>
      </c>
      <c r="E167" s="59" t="s">
        <v>100</v>
      </c>
      <c r="F167" s="87"/>
      <c r="G167" s="42">
        <v>3266</v>
      </c>
      <c r="H167" s="42">
        <v>3502</v>
      </c>
      <c r="I167" s="43">
        <f t="shared" si="41"/>
        <v>4</v>
      </c>
      <c r="J167" s="43">
        <f t="shared" si="38"/>
        <v>4</v>
      </c>
      <c r="K167" s="44">
        <f t="shared" si="39"/>
        <v>3.5019999999999998</v>
      </c>
      <c r="L167" s="45">
        <f>+J167*1000-SUM($Y$158:Y167)</f>
        <v>-2</v>
      </c>
      <c r="M167" s="46"/>
      <c r="N167" s="40" t="s">
        <v>6</v>
      </c>
      <c r="O167" s="40" t="s">
        <v>7</v>
      </c>
      <c r="P167" s="54">
        <v>507665</v>
      </c>
      <c r="Q167" s="41" t="s">
        <v>8</v>
      </c>
      <c r="R167" s="47">
        <v>23419</v>
      </c>
      <c r="S167" s="41" t="s">
        <v>8</v>
      </c>
      <c r="T167" s="48">
        <v>100000</v>
      </c>
      <c r="U167" s="48" t="s">
        <v>264</v>
      </c>
      <c r="V167" s="40">
        <v>0</v>
      </c>
      <c r="W167" s="81"/>
      <c r="X167" s="50">
        <f t="shared" si="42"/>
        <v>1.2268331708771546E-4</v>
      </c>
      <c r="Y167" s="51">
        <f t="shared" si="40"/>
        <v>237</v>
      </c>
      <c r="Z167" s="40">
        <v>0</v>
      </c>
      <c r="AA167" s="68">
        <v>0</v>
      </c>
      <c r="AB167" s="75">
        <v>23700000</v>
      </c>
    </row>
    <row r="168" spans="1:28" x14ac:dyDescent="0.25">
      <c r="A168" s="40">
        <v>165</v>
      </c>
      <c r="B168" s="40">
        <v>1045</v>
      </c>
      <c r="C168" s="40">
        <v>2024</v>
      </c>
      <c r="D168" s="68">
        <v>6</v>
      </c>
      <c r="E168" s="58" t="s">
        <v>160</v>
      </c>
      <c r="F168" s="87"/>
      <c r="G168" s="42">
        <v>3503</v>
      </c>
      <c r="H168" s="42">
        <v>3738</v>
      </c>
      <c r="I168" s="43">
        <f t="shared" si="41"/>
        <v>4</v>
      </c>
      <c r="J168" s="43">
        <f t="shared" si="38"/>
        <v>4</v>
      </c>
      <c r="K168" s="44">
        <f t="shared" si="39"/>
        <v>3.738</v>
      </c>
      <c r="L168" s="45">
        <f>+J168*1000-SUM($Y$158:Y168)</f>
        <v>-238</v>
      </c>
      <c r="M168" s="46"/>
      <c r="N168" s="40" t="s">
        <v>6</v>
      </c>
      <c r="O168" s="40" t="s">
        <v>7</v>
      </c>
      <c r="P168" s="54">
        <v>107653</v>
      </c>
      <c r="Q168" s="41" t="s">
        <v>8</v>
      </c>
      <c r="R168" s="47">
        <v>11978</v>
      </c>
      <c r="S168" s="41" t="s">
        <v>8</v>
      </c>
      <c r="T168" s="48">
        <v>100000</v>
      </c>
      <c r="U168" s="48" t="s">
        <v>264</v>
      </c>
      <c r="V168" s="40">
        <v>0</v>
      </c>
      <c r="W168" s="81"/>
      <c r="X168" s="50">
        <f t="shared" si="42"/>
        <v>1.2216566596076308E-4</v>
      </c>
      <c r="Y168" s="51">
        <f t="shared" si="40"/>
        <v>236</v>
      </c>
      <c r="Z168" s="40">
        <v>0</v>
      </c>
      <c r="AA168" s="68">
        <v>0</v>
      </c>
      <c r="AB168" s="75">
        <v>23600000</v>
      </c>
    </row>
    <row r="169" spans="1:28" x14ac:dyDescent="0.25">
      <c r="A169" s="40">
        <v>166</v>
      </c>
      <c r="B169" s="40">
        <v>1045</v>
      </c>
      <c r="C169" s="40">
        <v>2024</v>
      </c>
      <c r="D169" s="68">
        <v>6</v>
      </c>
      <c r="E169" s="59" t="s">
        <v>103</v>
      </c>
      <c r="F169" s="87"/>
      <c r="G169" s="42">
        <v>3739</v>
      </c>
      <c r="H169" s="42">
        <v>3836</v>
      </c>
      <c r="I169" s="43">
        <f t="shared" si="41"/>
        <v>4</v>
      </c>
      <c r="J169" s="43">
        <f t="shared" si="38"/>
        <v>4</v>
      </c>
      <c r="K169" s="44">
        <f t="shared" si="39"/>
        <v>3.8359999999999999</v>
      </c>
      <c r="L169" s="45">
        <f>+J169*1000-SUM($Y$158:Y169)</f>
        <v>-336</v>
      </c>
      <c r="M169" s="46"/>
      <c r="N169" s="40" t="s">
        <v>6</v>
      </c>
      <c r="O169" s="40" t="s">
        <v>7</v>
      </c>
      <c r="P169" s="54">
        <v>433576</v>
      </c>
      <c r="Q169" s="41" t="s">
        <v>8</v>
      </c>
      <c r="R169" s="47">
        <v>20601</v>
      </c>
      <c r="S169" s="41" t="s">
        <v>8</v>
      </c>
      <c r="T169" s="48">
        <v>100000</v>
      </c>
      <c r="U169" s="48" t="s">
        <v>264</v>
      </c>
      <c r="V169" s="40">
        <v>0</v>
      </c>
      <c r="W169" s="81"/>
      <c r="X169" s="50">
        <f t="shared" si="42"/>
        <v>5.0729810441333823E-5</v>
      </c>
      <c r="Y169" s="51">
        <f t="shared" si="40"/>
        <v>98</v>
      </c>
      <c r="Z169" s="40">
        <v>0</v>
      </c>
      <c r="AA169" s="68">
        <v>0</v>
      </c>
      <c r="AB169" s="75">
        <v>9800000</v>
      </c>
    </row>
    <row r="170" spans="1:28" x14ac:dyDescent="0.25">
      <c r="A170" s="40">
        <v>167</v>
      </c>
      <c r="B170" s="40">
        <v>1045</v>
      </c>
      <c r="C170" s="40">
        <v>2024</v>
      </c>
      <c r="D170" s="68">
        <v>6</v>
      </c>
      <c r="E170" s="59" t="s">
        <v>104</v>
      </c>
      <c r="F170" s="87"/>
      <c r="G170" s="42">
        <v>3837</v>
      </c>
      <c r="H170" s="42">
        <v>3934</v>
      </c>
      <c r="I170" s="43">
        <f t="shared" si="41"/>
        <v>4</v>
      </c>
      <c r="J170" s="43">
        <f t="shared" si="38"/>
        <v>4</v>
      </c>
      <c r="K170" s="44">
        <f t="shared" si="39"/>
        <v>3.9340000000000002</v>
      </c>
      <c r="L170" s="45">
        <f>+J170*1000-SUM($Y$158:Y170)</f>
        <v>-434</v>
      </c>
      <c r="M170" s="46"/>
      <c r="N170" s="40" t="s">
        <v>6</v>
      </c>
      <c r="O170" s="40" t="s">
        <v>7</v>
      </c>
      <c r="P170" s="54">
        <v>433577</v>
      </c>
      <c r="Q170" s="41" t="s">
        <v>8</v>
      </c>
      <c r="R170" s="47">
        <v>21268</v>
      </c>
      <c r="S170" s="41" t="s">
        <v>8</v>
      </c>
      <c r="T170" s="48">
        <v>100000</v>
      </c>
      <c r="U170" s="48" t="s">
        <v>264</v>
      </c>
      <c r="V170" s="40">
        <v>0</v>
      </c>
      <c r="W170" s="81"/>
      <c r="X170" s="50">
        <f t="shared" si="42"/>
        <v>5.0729810441333823E-5</v>
      </c>
      <c r="Y170" s="51">
        <f t="shared" si="40"/>
        <v>98</v>
      </c>
      <c r="Z170" s="40">
        <v>0</v>
      </c>
      <c r="AA170" s="68">
        <v>0</v>
      </c>
      <c r="AB170" s="75">
        <v>9800000</v>
      </c>
    </row>
    <row r="171" spans="1:28" x14ac:dyDescent="0.25">
      <c r="A171" s="40">
        <v>168</v>
      </c>
      <c r="B171" s="40">
        <v>1045</v>
      </c>
      <c r="C171" s="40">
        <v>2024</v>
      </c>
      <c r="D171" s="68">
        <v>6</v>
      </c>
      <c r="E171" s="59" t="s">
        <v>105</v>
      </c>
      <c r="F171" s="87"/>
      <c r="G171" s="42">
        <v>3935</v>
      </c>
      <c r="H171" s="42">
        <v>4032</v>
      </c>
      <c r="I171" s="43">
        <f t="shared" si="41"/>
        <v>4</v>
      </c>
      <c r="J171" s="43">
        <f t="shared" si="38"/>
        <v>5</v>
      </c>
      <c r="K171" s="44">
        <f t="shared" si="39"/>
        <v>4.032</v>
      </c>
      <c r="L171" s="45">
        <f>+J171*1000-SUM($Y$158:Y171)</f>
        <v>468</v>
      </c>
      <c r="M171" s="46"/>
      <c r="N171" s="40" t="s">
        <v>6</v>
      </c>
      <c r="O171" s="40" t="s">
        <v>7</v>
      </c>
      <c r="P171" s="54">
        <v>507343</v>
      </c>
      <c r="Q171" s="41" t="s">
        <v>8</v>
      </c>
      <c r="R171" s="47">
        <v>22151</v>
      </c>
      <c r="S171" s="41" t="s">
        <v>8</v>
      </c>
      <c r="T171" s="48">
        <v>100000</v>
      </c>
      <c r="U171" s="48" t="s">
        <v>264</v>
      </c>
      <c r="V171" s="40">
        <v>0</v>
      </c>
      <c r="W171" s="81"/>
      <c r="X171" s="50">
        <f t="shared" si="42"/>
        <v>5.0729810441333823E-5</v>
      </c>
      <c r="Y171" s="51">
        <f t="shared" si="40"/>
        <v>98</v>
      </c>
      <c r="Z171" s="40">
        <v>0</v>
      </c>
      <c r="AA171" s="68">
        <v>0</v>
      </c>
      <c r="AB171" s="75">
        <v>9800000</v>
      </c>
    </row>
    <row r="172" spans="1:28" x14ac:dyDescent="0.25">
      <c r="A172" s="40">
        <v>169</v>
      </c>
      <c r="B172" s="40">
        <v>1045</v>
      </c>
      <c r="C172" s="40">
        <v>2024</v>
      </c>
      <c r="D172" s="68">
        <v>6</v>
      </c>
      <c r="E172" s="59" t="s">
        <v>106</v>
      </c>
      <c r="F172" s="87"/>
      <c r="G172" s="42">
        <v>4033</v>
      </c>
      <c r="H172" s="42">
        <v>4130</v>
      </c>
      <c r="I172" s="43">
        <f t="shared" si="41"/>
        <v>5</v>
      </c>
      <c r="J172" s="43">
        <f t="shared" si="38"/>
        <v>5</v>
      </c>
      <c r="K172" s="44">
        <f t="shared" si="39"/>
        <v>4.13</v>
      </c>
      <c r="L172" s="45">
        <f>+J172*1000-SUM($Y$158:Y172)</f>
        <v>370</v>
      </c>
      <c r="M172" s="46"/>
      <c r="N172" s="40" t="s">
        <v>6</v>
      </c>
      <c r="O172" s="40" t="s">
        <v>7</v>
      </c>
      <c r="P172" s="54">
        <v>423451</v>
      </c>
      <c r="Q172" s="41" t="s">
        <v>8</v>
      </c>
      <c r="R172" s="47">
        <v>19879</v>
      </c>
      <c r="S172" s="41" t="s">
        <v>8</v>
      </c>
      <c r="T172" s="48">
        <v>100000</v>
      </c>
      <c r="U172" s="48" t="s">
        <v>264</v>
      </c>
      <c r="V172" s="40">
        <v>0</v>
      </c>
      <c r="W172" s="81"/>
      <c r="X172" s="50">
        <f t="shared" si="42"/>
        <v>5.0729810441333823E-5</v>
      </c>
      <c r="Y172" s="51">
        <f t="shared" si="40"/>
        <v>98</v>
      </c>
      <c r="Z172" s="40">
        <v>0</v>
      </c>
      <c r="AA172" s="68">
        <v>0</v>
      </c>
      <c r="AB172" s="75">
        <v>9800000</v>
      </c>
    </row>
    <row r="173" spans="1:28" x14ac:dyDescent="0.25">
      <c r="A173" s="40">
        <v>170</v>
      </c>
      <c r="B173" s="40">
        <v>1045</v>
      </c>
      <c r="C173" s="40">
        <v>2024</v>
      </c>
      <c r="D173" s="68">
        <v>6</v>
      </c>
      <c r="E173" s="59" t="s">
        <v>107</v>
      </c>
      <c r="F173" s="87"/>
      <c r="G173" s="42">
        <v>4131</v>
      </c>
      <c r="H173" s="42">
        <v>4228</v>
      </c>
      <c r="I173" s="43">
        <f t="shared" si="41"/>
        <v>5</v>
      </c>
      <c r="J173" s="43">
        <f t="shared" si="38"/>
        <v>5</v>
      </c>
      <c r="K173" s="44">
        <f t="shared" si="39"/>
        <v>4.2279999999999998</v>
      </c>
      <c r="L173" s="45">
        <f>+J173*1000-SUM($Y$158:Y173)</f>
        <v>272</v>
      </c>
      <c r="M173" s="46"/>
      <c r="N173" s="40" t="s">
        <v>6</v>
      </c>
      <c r="O173" s="40" t="s">
        <v>7</v>
      </c>
      <c r="P173" s="54">
        <v>507669</v>
      </c>
      <c r="Q173" s="41" t="s">
        <v>8</v>
      </c>
      <c r="R173" s="47">
        <v>24142</v>
      </c>
      <c r="S173" s="41" t="s">
        <v>8</v>
      </c>
      <c r="T173" s="48">
        <v>100000</v>
      </c>
      <c r="U173" s="48" t="s">
        <v>264</v>
      </c>
      <c r="V173" s="40">
        <v>0</v>
      </c>
      <c r="W173" s="81"/>
      <c r="X173" s="50">
        <f t="shared" si="42"/>
        <v>5.0729810441333823E-5</v>
      </c>
      <c r="Y173" s="51">
        <f t="shared" si="40"/>
        <v>98</v>
      </c>
      <c r="Z173" s="40">
        <v>0</v>
      </c>
      <c r="AA173" s="68">
        <v>0</v>
      </c>
      <c r="AB173" s="75">
        <v>9800000</v>
      </c>
    </row>
    <row r="174" spans="1:28" x14ac:dyDescent="0.25">
      <c r="A174" s="40">
        <v>171</v>
      </c>
      <c r="B174" s="40">
        <v>1045</v>
      </c>
      <c r="C174" s="40">
        <v>2024</v>
      </c>
      <c r="D174" s="68">
        <v>6</v>
      </c>
      <c r="E174" s="58" t="s">
        <v>269</v>
      </c>
      <c r="F174" s="87"/>
      <c r="G174" s="42">
        <v>4229</v>
      </c>
      <c r="H174" s="42">
        <v>29228</v>
      </c>
      <c r="I174" s="43">
        <f t="shared" si="41"/>
        <v>5</v>
      </c>
      <c r="J174" s="43">
        <f t="shared" si="38"/>
        <v>30</v>
      </c>
      <c r="K174" s="44">
        <f t="shared" si="39"/>
        <v>29.228000000000002</v>
      </c>
      <c r="L174" s="45">
        <f>+J174*1000-SUM($Y$20:Y312)</f>
        <v>-2513135</v>
      </c>
      <c r="M174" s="46"/>
      <c r="N174" s="40" t="s">
        <v>245</v>
      </c>
      <c r="O174" s="40" t="s">
        <v>194</v>
      </c>
      <c r="P174" s="54" t="s">
        <v>270</v>
      </c>
      <c r="Q174" s="41" t="s">
        <v>8</v>
      </c>
      <c r="R174" s="47">
        <v>43956</v>
      </c>
      <c r="S174" s="41" t="s">
        <v>8</v>
      </c>
      <c r="T174" s="48">
        <v>100000</v>
      </c>
      <c r="U174" s="48" t="s">
        <v>264</v>
      </c>
      <c r="V174" s="40">
        <v>0</v>
      </c>
      <c r="W174" s="81"/>
      <c r="X174" s="50">
        <f t="shared" si="42"/>
        <v>1.2941278173809648E-2</v>
      </c>
      <c r="Y174" s="51">
        <f t="shared" si="40"/>
        <v>25000</v>
      </c>
      <c r="Z174" s="40">
        <v>0</v>
      </c>
      <c r="AA174" s="68">
        <v>0</v>
      </c>
      <c r="AB174" s="75">
        <v>2500000000</v>
      </c>
    </row>
    <row r="175" spans="1:28" x14ac:dyDescent="0.25">
      <c r="A175" s="88">
        <v>172</v>
      </c>
      <c r="B175" s="88">
        <v>1045</v>
      </c>
      <c r="C175" s="88">
        <v>2024</v>
      </c>
      <c r="D175" s="89">
        <v>6</v>
      </c>
      <c r="E175" s="58" t="s">
        <v>274</v>
      </c>
      <c r="F175" s="87"/>
      <c r="G175" s="42">
        <v>29229</v>
      </c>
      <c r="H175" s="42">
        <v>39228</v>
      </c>
      <c r="I175" s="43">
        <f t="shared" si="41"/>
        <v>30</v>
      </c>
      <c r="J175" s="43">
        <f t="shared" si="38"/>
        <v>40</v>
      </c>
      <c r="K175" s="44">
        <f t="shared" si="39"/>
        <v>39.228000000000002</v>
      </c>
      <c r="L175" s="45">
        <f>+J175*1000-SUM($Y$34:Y299)</f>
        <v>-2309711</v>
      </c>
      <c r="M175" s="46"/>
      <c r="N175" s="88" t="s">
        <v>245</v>
      </c>
      <c r="O175" s="40" t="s">
        <v>194</v>
      </c>
      <c r="P175" s="54" t="s">
        <v>275</v>
      </c>
      <c r="Q175" s="90" t="s">
        <v>8</v>
      </c>
      <c r="R175" s="91">
        <v>42772</v>
      </c>
      <c r="S175" s="90" t="s">
        <v>8</v>
      </c>
      <c r="T175" s="92">
        <v>100000</v>
      </c>
      <c r="U175" s="92" t="s">
        <v>264</v>
      </c>
      <c r="V175" s="40">
        <v>0</v>
      </c>
      <c r="W175" s="93"/>
      <c r="X175" s="50">
        <f t="shared" si="42"/>
        <v>5.1765112695238589E-3</v>
      </c>
      <c r="Y175" s="51">
        <f t="shared" si="40"/>
        <v>10000</v>
      </c>
      <c r="Z175" s="40">
        <v>0</v>
      </c>
      <c r="AA175" s="68">
        <v>0</v>
      </c>
      <c r="AB175" s="75">
        <v>1000000000</v>
      </c>
    </row>
    <row r="176" spans="1:28" x14ac:dyDescent="0.25">
      <c r="A176" s="40">
        <v>173</v>
      </c>
      <c r="B176" s="40">
        <v>1045</v>
      </c>
      <c r="C176" s="40">
        <v>2024</v>
      </c>
      <c r="D176" s="68">
        <v>6</v>
      </c>
      <c r="E176" s="59" t="s">
        <v>265</v>
      </c>
      <c r="F176" s="87"/>
      <c r="G176" s="42">
        <v>39229</v>
      </c>
      <c r="H176" s="42">
        <v>44228</v>
      </c>
      <c r="I176" s="43">
        <f t="shared" si="41"/>
        <v>40</v>
      </c>
      <c r="J176" s="43">
        <f t="shared" si="38"/>
        <v>45</v>
      </c>
      <c r="K176" s="44">
        <f t="shared" si="39"/>
        <v>44.228000000000002</v>
      </c>
      <c r="L176" s="45">
        <f>+J176*1000-SUM($Y$57:Y277)</f>
        <v>-2175578</v>
      </c>
      <c r="M176" s="46"/>
      <c r="N176" s="40" t="s">
        <v>6</v>
      </c>
      <c r="O176" s="40" t="s">
        <v>7</v>
      </c>
      <c r="P176" s="54">
        <v>896381</v>
      </c>
      <c r="Q176" s="41" t="s">
        <v>8</v>
      </c>
      <c r="R176" s="47"/>
      <c r="S176" s="41" t="s">
        <v>8</v>
      </c>
      <c r="T176" s="48">
        <v>100000</v>
      </c>
      <c r="U176" s="48" t="s">
        <v>264</v>
      </c>
      <c r="V176" s="40">
        <v>0</v>
      </c>
      <c r="W176" s="81"/>
      <c r="X176" s="50">
        <f t="shared" si="42"/>
        <v>2.5882556347619295E-3</v>
      </c>
      <c r="Y176" s="51">
        <f t="shared" si="40"/>
        <v>5000</v>
      </c>
      <c r="Z176" s="40">
        <v>0</v>
      </c>
      <c r="AA176" s="68">
        <v>0</v>
      </c>
      <c r="AB176" s="75">
        <v>500000000</v>
      </c>
    </row>
    <row r="177" spans="1:28" x14ac:dyDescent="0.25">
      <c r="A177" s="40">
        <v>174</v>
      </c>
      <c r="B177" s="40">
        <v>1045</v>
      </c>
      <c r="C177" s="40">
        <v>2024</v>
      </c>
      <c r="D177" s="68">
        <v>6</v>
      </c>
      <c r="E177" s="59" t="s">
        <v>266</v>
      </c>
      <c r="F177" s="87"/>
      <c r="G177" s="42">
        <v>44229</v>
      </c>
      <c r="H177" s="42">
        <v>47228</v>
      </c>
      <c r="I177" s="43">
        <f t="shared" si="41"/>
        <v>45</v>
      </c>
      <c r="J177" s="43">
        <f t="shared" si="38"/>
        <v>48</v>
      </c>
      <c r="K177" s="44">
        <f t="shared" si="39"/>
        <v>47.228000000000002</v>
      </c>
      <c r="L177" s="45">
        <f>+J177*1000-SUM($Y$82:Y253)</f>
        <v>-2104222</v>
      </c>
      <c r="M177" s="46"/>
      <c r="N177" s="40" t="s">
        <v>6</v>
      </c>
      <c r="O177" s="40" t="s">
        <v>7</v>
      </c>
      <c r="P177" s="54">
        <v>493390</v>
      </c>
      <c r="Q177" s="41" t="s">
        <v>8</v>
      </c>
      <c r="R177" s="47">
        <v>20499</v>
      </c>
      <c r="S177" s="41" t="s">
        <v>8</v>
      </c>
      <c r="T177" s="48">
        <v>100000</v>
      </c>
      <c r="U177" s="48" t="s">
        <v>264</v>
      </c>
      <c r="V177" s="40">
        <v>0</v>
      </c>
      <c r="W177" s="81"/>
      <c r="X177" s="50">
        <f t="shared" si="42"/>
        <v>1.5529533808571578E-3</v>
      </c>
      <c r="Y177" s="51">
        <f t="shared" si="40"/>
        <v>3000</v>
      </c>
      <c r="Z177" s="40">
        <v>0</v>
      </c>
      <c r="AA177" s="68">
        <v>0</v>
      </c>
      <c r="AB177" s="75">
        <v>300000000</v>
      </c>
    </row>
    <row r="178" spans="1:28" ht="30" x14ac:dyDescent="0.25">
      <c r="A178" s="88">
        <v>175</v>
      </c>
      <c r="B178" s="88">
        <v>1045</v>
      </c>
      <c r="C178" s="88">
        <v>2024</v>
      </c>
      <c r="D178" s="89">
        <v>6</v>
      </c>
      <c r="E178" s="94" t="s">
        <v>267</v>
      </c>
      <c r="F178" s="87"/>
      <c r="G178" s="42">
        <v>47229</v>
      </c>
      <c r="H178" s="42">
        <v>97228</v>
      </c>
      <c r="I178" s="43">
        <f t="shared" si="41"/>
        <v>48</v>
      </c>
      <c r="J178" s="43">
        <f t="shared" si="38"/>
        <v>98</v>
      </c>
      <c r="K178" s="44">
        <f t="shared" si="39"/>
        <v>97.227999999999994</v>
      </c>
      <c r="L178" s="45">
        <f>+J178*1000-SUM($Y$11:Y325)</f>
        <v>-2807725</v>
      </c>
      <c r="M178" s="46"/>
      <c r="N178" s="88" t="s">
        <v>245</v>
      </c>
      <c r="O178" s="40" t="s">
        <v>194</v>
      </c>
      <c r="P178" s="54" t="s">
        <v>268</v>
      </c>
      <c r="Q178" s="90" t="s">
        <v>8</v>
      </c>
      <c r="R178" s="91">
        <v>32888</v>
      </c>
      <c r="S178" s="90" t="s">
        <v>8</v>
      </c>
      <c r="T178" s="92">
        <v>100000</v>
      </c>
      <c r="U178" s="92" t="s">
        <v>264</v>
      </c>
      <c r="V178" s="40">
        <v>0</v>
      </c>
      <c r="W178" s="93"/>
      <c r="X178" s="50">
        <f t="shared" si="42"/>
        <v>2.5882556347619295E-2</v>
      </c>
      <c r="Y178" s="51">
        <f t="shared" si="40"/>
        <v>50000</v>
      </c>
      <c r="Z178" s="40">
        <v>0</v>
      </c>
      <c r="AA178" s="68">
        <v>0</v>
      </c>
      <c r="AB178" s="75">
        <v>5000000000</v>
      </c>
    </row>
    <row r="179" spans="1:28" x14ac:dyDescent="0.25">
      <c r="A179" s="40">
        <v>176</v>
      </c>
      <c r="B179" s="40">
        <v>1045</v>
      </c>
      <c r="C179" s="40">
        <v>2024</v>
      </c>
      <c r="D179" s="68">
        <v>6</v>
      </c>
      <c r="E179" s="58" t="s">
        <v>274</v>
      </c>
      <c r="F179" s="87"/>
      <c r="G179" s="42">
        <v>97229</v>
      </c>
      <c r="H179" s="42">
        <v>100000</v>
      </c>
      <c r="I179" s="43">
        <f t="shared" si="41"/>
        <v>98</v>
      </c>
      <c r="J179" s="43">
        <f t="shared" si="38"/>
        <v>100</v>
      </c>
      <c r="K179" s="44">
        <f t="shared" si="39"/>
        <v>100</v>
      </c>
      <c r="L179" s="45">
        <f>+J179*1000-SUM($Y$84:Y253)</f>
        <v>-2048999</v>
      </c>
      <c r="M179" s="46"/>
      <c r="N179" s="40" t="s">
        <v>245</v>
      </c>
      <c r="O179" s="40" t="s">
        <v>194</v>
      </c>
      <c r="P179" s="54" t="s">
        <v>275</v>
      </c>
      <c r="Q179" s="41" t="s">
        <v>8</v>
      </c>
      <c r="R179" s="47">
        <v>40284</v>
      </c>
      <c r="S179" s="41" t="s">
        <v>8</v>
      </c>
      <c r="T179" s="48">
        <v>100000</v>
      </c>
      <c r="U179" s="48" t="s">
        <v>264</v>
      </c>
      <c r="V179" s="40">
        <v>0</v>
      </c>
      <c r="W179" s="81"/>
      <c r="X179" s="50">
        <f t="shared" si="42"/>
        <v>1.4349289239120138E-3</v>
      </c>
      <c r="Y179" s="51">
        <f t="shared" si="40"/>
        <v>2772</v>
      </c>
      <c r="Z179" s="40">
        <v>0</v>
      </c>
      <c r="AA179" s="68">
        <v>0</v>
      </c>
      <c r="AB179" s="75">
        <v>277200000</v>
      </c>
    </row>
    <row r="180" spans="1:28" x14ac:dyDescent="0.25">
      <c r="X180" s="66">
        <f t="shared" ref="X180:AB180" si="43">SUM(X4:X179)</f>
        <v>1.0000000000000002</v>
      </c>
      <c r="Y180" s="67">
        <f t="shared" si="43"/>
        <v>1931803</v>
      </c>
      <c r="Z180" s="67">
        <f t="shared" si="43"/>
        <v>8659015</v>
      </c>
      <c r="AA180" s="71">
        <f t="shared" si="43"/>
        <v>0</v>
      </c>
      <c r="AB180" s="72">
        <f t="shared" si="43"/>
        <v>193180300000</v>
      </c>
    </row>
  </sheetData>
  <autoFilter ref="E1:E111" xr:uid="{00000000-0001-0000-0000-000000000000}"/>
  <sortState xmlns:xlrd2="http://schemas.microsoft.com/office/spreadsheetml/2017/richdata2" ref="A60:AB61">
    <sortCondition descending="1" ref="A60:A61"/>
  </sortState>
  <mergeCells count="25">
    <mergeCell ref="A1:AA1"/>
    <mergeCell ref="W2:W3"/>
    <mergeCell ref="X2:X3"/>
    <mergeCell ref="Y2:Y3"/>
    <mergeCell ref="Q2:Q3"/>
    <mergeCell ref="P2:P3"/>
    <mergeCell ref="R2:R3"/>
    <mergeCell ref="S2:S3"/>
    <mergeCell ref="T2:T3"/>
    <mergeCell ref="U2:U3"/>
    <mergeCell ref="V2:V3"/>
    <mergeCell ref="Z2:Z3"/>
    <mergeCell ref="C2:C3"/>
    <mergeCell ref="G2:H2"/>
    <mergeCell ref="F2:F3"/>
    <mergeCell ref="M2:M3"/>
    <mergeCell ref="D2:D3"/>
    <mergeCell ref="B2:B3"/>
    <mergeCell ref="A2:A3"/>
    <mergeCell ref="AA2:AA3"/>
    <mergeCell ref="I2:J2"/>
    <mergeCell ref="O2:O3"/>
    <mergeCell ref="N2:N3"/>
    <mergeCell ref="E2:E3"/>
    <mergeCell ref="K2:L2"/>
  </mergeCells>
  <pageMargins left="0.62992125984251968" right="0.55118110236220474" top="0.94488188976377963" bottom="0.74803149606299213" header="0.31496062992125984" footer="0.31496062992125984"/>
  <pageSetup paperSize="119" scale="50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1"/>
  <sheetViews>
    <sheetView zoomScale="85" zoomScaleNormal="85" zoomScalePageLayoutView="73" workbookViewId="0">
      <pane xSplit="5" ySplit="4" topLeftCell="F5" activePane="bottomRight" state="frozen"/>
      <selection pane="topRight" activeCell="F1" sqref="F1"/>
      <selection pane="bottomLeft" activeCell="A4" sqref="A4"/>
      <selection pane="bottomRight" activeCell="L5" sqref="L5"/>
    </sheetView>
  </sheetViews>
  <sheetFormatPr baseColWidth="10" defaultRowHeight="15" x14ac:dyDescent="0.25"/>
  <cols>
    <col min="1" max="1" width="6.7109375" customWidth="1"/>
    <col min="2" max="2" width="13.42578125" customWidth="1"/>
    <col min="3" max="3" width="10.5703125" customWidth="1"/>
    <col min="4" max="4" width="7.28515625" customWidth="1"/>
    <col min="5" max="5" width="37" style="9" bestFit="1" customWidth="1"/>
    <col min="6" max="6" width="56.85546875" hidden="1" customWidth="1"/>
    <col min="7" max="7" width="11.42578125" customWidth="1"/>
    <col min="8" max="8" width="12" customWidth="1"/>
    <col min="9" max="9" width="22.28515625" customWidth="1"/>
    <col min="10" max="10" width="23.140625" customWidth="1"/>
    <col min="11" max="11" width="15.5703125" customWidth="1"/>
    <col min="12" max="12" width="29.7109375" style="39" customWidth="1"/>
    <col min="13" max="13" width="17.42578125" style="39" customWidth="1"/>
    <col min="14" max="14" width="11.42578125" style="39"/>
    <col min="15" max="15" width="14.140625" customWidth="1"/>
  </cols>
  <sheetData>
    <row r="1" spans="1:13" s="34" customFormat="1" x14ac:dyDescent="0.25">
      <c r="E1" s="35"/>
    </row>
    <row r="2" spans="1:13" ht="26.25" x14ac:dyDescent="0.25">
      <c r="A2" s="126" t="s">
        <v>61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3" ht="35.25" customHeight="1" x14ac:dyDescent="0.25">
      <c r="A3" s="128" t="s">
        <v>0</v>
      </c>
      <c r="B3" s="129" t="s">
        <v>47</v>
      </c>
      <c r="C3" s="129" t="s">
        <v>1</v>
      </c>
      <c r="D3" s="129" t="s">
        <v>2</v>
      </c>
      <c r="E3" s="129" t="s">
        <v>3</v>
      </c>
      <c r="F3" s="60"/>
      <c r="G3" s="130" t="s">
        <v>44</v>
      </c>
      <c r="H3" s="131"/>
      <c r="I3" s="129" t="s">
        <v>43</v>
      </c>
      <c r="J3" s="129" t="s">
        <v>45</v>
      </c>
      <c r="K3" s="129" t="s">
        <v>46</v>
      </c>
      <c r="L3" s="62" t="s">
        <v>205</v>
      </c>
    </row>
    <row r="4" spans="1:13" ht="49.5" customHeight="1" x14ac:dyDescent="0.25">
      <c r="A4" s="128"/>
      <c r="B4" s="129"/>
      <c r="C4" s="129"/>
      <c r="D4" s="129"/>
      <c r="E4" s="129"/>
      <c r="F4" s="5" t="s">
        <v>11</v>
      </c>
      <c r="G4" s="6" t="s">
        <v>10</v>
      </c>
      <c r="H4" s="6" t="s">
        <v>238</v>
      </c>
      <c r="I4" s="129"/>
      <c r="J4" s="129"/>
      <c r="K4" s="129"/>
      <c r="L4" s="61">
        <v>193180300000</v>
      </c>
    </row>
    <row r="5" spans="1:13" x14ac:dyDescent="0.25">
      <c r="A5" s="3">
        <v>29</v>
      </c>
      <c r="B5" s="3">
        <f>+VLOOKUP($A5,'REGISTRO GENERAL'!$A$4:$AA$201,COLUMN($B$1))</f>
        <v>1045</v>
      </c>
      <c r="C5" s="3">
        <f>+VLOOKUP($A5,'REGISTRO GENERAL'!$A$4:$AA$201,COLUMN($C$1))</f>
        <v>2025</v>
      </c>
      <c r="D5" s="3">
        <f>+VLOOKUP($A5,'REGISTRO GENERAL'!$A$4:$AA$201,COLUMN(D1))</f>
        <v>12</v>
      </c>
      <c r="E5" s="4" t="str">
        <f>+VLOOKUP($A5,'REGISTRO GENERAL'!$A$4:$AA$201,COLUMN($E$1))</f>
        <v>Amigo Marcet, Roberto Daniel</v>
      </c>
      <c r="F5" s="4" t="str">
        <f>+VLOOKUP($A5,'REGISTRO GENERAL'!$A$4:$AA$201,COLUMN('REGISTRO GENERAL'!M4))</f>
        <v>Hermana de Raúl, Ida, Roberto, José</v>
      </c>
      <c r="G5" s="3" t="s">
        <v>10</v>
      </c>
      <c r="H5" s="3"/>
      <c r="I5" s="22">
        <f t="shared" ref="I5:I10" si="0">L5/$L$4</f>
        <v>4.4486937850288051E-3</v>
      </c>
      <c r="J5" s="37">
        <f>L5/100000</f>
        <v>8594</v>
      </c>
      <c r="K5" s="37">
        <f>J5*5</f>
        <v>42970</v>
      </c>
      <c r="L5" s="37">
        <v>859400000</v>
      </c>
    </row>
    <row r="6" spans="1:13" x14ac:dyDescent="0.25">
      <c r="A6" s="3">
        <v>32</v>
      </c>
      <c r="B6" s="3">
        <f>+VLOOKUP($A6,'REGISTRO GENERAL'!$A$4:$AA$201,COLUMN($B$1))</f>
        <v>1045</v>
      </c>
      <c r="C6" s="3">
        <f>+VLOOKUP($A6,'REGISTRO GENERAL'!$A$4:$AA$201,COLUMN($C$1))</f>
        <v>2025</v>
      </c>
      <c r="D6" s="3">
        <f>+VLOOKUP($A6,'REGISTRO GENERAL'!$A$4:$AA$201,COLUMN(D2))</f>
        <v>12</v>
      </c>
      <c r="E6" s="4" t="str">
        <f>+VLOOKUP($A6,'REGISTRO GENERAL'!$A$4:$AA$201,COLUMN($E$1))</f>
        <v>Amigo Marcet, José Ricardo</v>
      </c>
      <c r="F6" s="4" t="str">
        <f>+VLOOKUP($A6,'REGISTRO GENERAL'!$A$4:$AA$201,COLUMN('REGISTRO GENERAL'!M5))</f>
        <v>Hermano de Raúl, Marta, Ida y Roberto Amigo Marcet</v>
      </c>
      <c r="G6" s="3" t="s">
        <v>10</v>
      </c>
      <c r="H6" s="3"/>
      <c r="I6" s="22">
        <f t="shared" si="0"/>
        <v>4.2069507087420408E-3</v>
      </c>
      <c r="J6" s="37">
        <f t="shared" ref="J6:J69" si="1">L6/100000</f>
        <v>8127</v>
      </c>
      <c r="K6" s="37">
        <f t="shared" ref="K6:K10" si="2">J6*5</f>
        <v>40635</v>
      </c>
      <c r="L6" s="78">
        <f>+'REGISTRO GENERAL'!AB35</f>
        <v>812700000</v>
      </c>
    </row>
    <row r="7" spans="1:13" x14ac:dyDescent="0.25">
      <c r="A7" s="3">
        <v>33</v>
      </c>
      <c r="B7" s="3">
        <f>+VLOOKUP($A7,'REGISTRO GENERAL'!$A$4:$AA$201,COLUMN($B$1))</f>
        <v>1045</v>
      </c>
      <c r="C7" s="3">
        <f>+VLOOKUP($A7,'REGISTRO GENERAL'!$A$4:$AA$201,COLUMN($C$1))</f>
        <v>2025</v>
      </c>
      <c r="D7" s="3">
        <f>+VLOOKUP($A7,'REGISTRO GENERAL'!$A$4:$AA$201,COLUMN(D3))</f>
        <v>12</v>
      </c>
      <c r="E7" s="4" t="str">
        <f>+VLOOKUP($A7,'REGISTRO GENERAL'!$A$4:$AA$201,COLUMN($E$1))</f>
        <v>Amigo Marcet, Raúl Gustavo</v>
      </c>
      <c r="F7" s="4" t="str">
        <f>+VLOOKUP($A7,'REGISTRO GENERAL'!$A$4:$AA$201,COLUMN('REGISTRO GENERAL'!M6))</f>
        <v>Hermana de Raúl, Ida, Roberto, Marta</v>
      </c>
      <c r="G7" s="3" t="s">
        <v>10</v>
      </c>
      <c r="H7" s="3"/>
      <c r="I7" s="22">
        <f t="shared" si="0"/>
        <v>4.2069507087420408E-3</v>
      </c>
      <c r="J7" s="37">
        <f t="shared" si="1"/>
        <v>8127</v>
      </c>
      <c r="K7" s="76">
        <f t="shared" si="2"/>
        <v>40635</v>
      </c>
      <c r="L7" s="37">
        <f>+'REGISTRO GENERAL'!AB36</f>
        <v>812700000</v>
      </c>
      <c r="M7" s="77"/>
    </row>
    <row r="8" spans="1:13" x14ac:dyDescent="0.25">
      <c r="A8" s="3">
        <v>36</v>
      </c>
      <c r="B8" s="3">
        <f>+VLOOKUP($A8,'REGISTRO GENERAL'!$A$4:$AA$201,COLUMN($B$1))</f>
        <v>1045</v>
      </c>
      <c r="C8" s="3">
        <f>+VLOOKUP($A8,'REGISTRO GENERAL'!$A$4:$AA$201,COLUMN($C$1))</f>
        <v>2025</v>
      </c>
      <c r="D8" s="3">
        <f>+VLOOKUP($A8,'REGISTRO GENERAL'!$A$4:$AA$201,COLUMN(D5))</f>
        <v>12</v>
      </c>
      <c r="E8" s="4" t="str">
        <f>+VLOOKUP($A8,'REGISTRO GENERAL'!$A$4:$AA$201,COLUMN($E$1))</f>
        <v xml:space="preserve">Amigo de Arbo, Marta Graciela </v>
      </c>
      <c r="F8" s="4" t="e">
        <f>+VLOOKUP($A8,'REGISTRO GENERAL'!$A$4:$AA$201,COLUMN('REGISTRO GENERAL'!#REF!))</f>
        <v>#REF!</v>
      </c>
      <c r="G8" s="3" t="s">
        <v>10</v>
      </c>
      <c r="H8" s="3"/>
      <c r="I8" s="22">
        <f t="shared" si="0"/>
        <v>3.537110150465653E-3</v>
      </c>
      <c r="J8" s="37">
        <f t="shared" si="1"/>
        <v>6833</v>
      </c>
      <c r="K8" s="37">
        <f t="shared" si="2"/>
        <v>34165</v>
      </c>
      <c r="L8" s="79">
        <f>+'REGISTRO GENERAL'!AB39</f>
        <v>683300000</v>
      </c>
    </row>
    <row r="9" spans="1:13" x14ac:dyDescent="0.25">
      <c r="A9" s="3">
        <v>37</v>
      </c>
      <c r="B9" s="3">
        <f>+VLOOKUP($A9,'REGISTRO GENERAL'!$A$4:$AA$201,COLUMN($B$1))</f>
        <v>1045</v>
      </c>
      <c r="C9" s="3">
        <f>+VLOOKUP($A9,'REGISTRO GENERAL'!$A$4:$AA$201,COLUMN($C$1))</f>
        <v>2025</v>
      </c>
      <c r="D9" s="3">
        <f>+VLOOKUP($A9,'REGISTRO GENERAL'!$A$4:$AA$201,COLUMN(D6))</f>
        <v>12</v>
      </c>
      <c r="E9" s="4" t="str">
        <f>+VLOOKUP($A9,'REGISTRO GENERAL'!$A$4:$AA$201,COLUMN($E$1))</f>
        <v xml:space="preserve">Amigo de Ballasch, Ida Susana </v>
      </c>
      <c r="F9" s="4" t="str">
        <f>+VLOOKUP($A9,'REGISTRO GENERAL'!$A$4:$AA$201,COLUMN('REGISTRO GENERAL'!M7))</f>
        <v>Hermano de Marta, Ida, Roberto y José Amigo Marcet</v>
      </c>
      <c r="G9" s="3" t="s">
        <v>10</v>
      </c>
      <c r="H9" s="3"/>
      <c r="I9" s="22">
        <f t="shared" si="0"/>
        <v>3.4708508062157475E-3</v>
      </c>
      <c r="J9" s="37">
        <f t="shared" si="1"/>
        <v>6705</v>
      </c>
      <c r="K9" s="37">
        <f t="shared" si="2"/>
        <v>33525</v>
      </c>
      <c r="L9" s="37">
        <f>+'REGISTRO GENERAL'!AB40</f>
        <v>670500000</v>
      </c>
    </row>
    <row r="10" spans="1:13" x14ac:dyDescent="0.25">
      <c r="A10" s="3">
        <v>81</v>
      </c>
      <c r="B10" s="3">
        <f>+VLOOKUP($A10,'REGISTRO GENERAL'!$A$4:$AA$201,COLUMN($B$1))</f>
        <v>1045</v>
      </c>
      <c r="C10" s="3">
        <f>+VLOOKUP($A10,'REGISTRO GENERAL'!$A$4:$AA$201,COLUMN($C$1))</f>
        <v>2025</v>
      </c>
      <c r="D10" s="3">
        <f>+VLOOKUP($A10,'REGISTRO GENERAL'!$A$4:$AA$201,COLUMN(D7))</f>
        <v>12</v>
      </c>
      <c r="E10" s="4" t="str">
        <f>+VLOOKUP($A10,'REGISTRO GENERAL'!$A$4:$AA$201,COLUMN($E$1))</f>
        <v>Ballasch Amigo, Federico Javier</v>
      </c>
      <c r="F10" s="4" t="str">
        <f>+VLOOKUP($A10,'REGISTRO GENERAL'!$A$4:$AA$201,COLUMN('REGISTRO GENERAL'!M8))</f>
        <v>Hijo de Ida Susana Amigo de Ballasch</v>
      </c>
      <c r="G10" s="3" t="s">
        <v>10</v>
      </c>
      <c r="H10" s="3"/>
      <c r="I10" s="22">
        <f t="shared" si="0"/>
        <v>7.3195869351067369E-4</v>
      </c>
      <c r="J10" s="37">
        <f t="shared" si="1"/>
        <v>1414</v>
      </c>
      <c r="K10" s="37">
        <f t="shared" si="2"/>
        <v>7070</v>
      </c>
      <c r="L10" s="37">
        <f>+'REGISTRO GENERAL'!AB84</f>
        <v>141400000</v>
      </c>
    </row>
    <row r="11" spans="1:13" x14ac:dyDescent="0.25">
      <c r="A11" s="123" t="s">
        <v>30</v>
      </c>
      <c r="B11" s="124"/>
      <c r="C11" s="124"/>
      <c r="D11" s="125"/>
      <c r="E11" s="23" t="s">
        <v>31</v>
      </c>
      <c r="F11" s="24"/>
      <c r="G11" s="26"/>
      <c r="H11" s="27"/>
      <c r="I11" s="28">
        <f>+SUM(I5:I10)</f>
        <v>2.0602514852704961E-2</v>
      </c>
      <c r="J11" s="29">
        <f>+SUM(J5:J10)</f>
        <v>39800</v>
      </c>
      <c r="K11" s="29">
        <f>+SUM(K5:K10)</f>
        <v>199000</v>
      </c>
      <c r="L11" s="29">
        <f>+SUM(L5:L10)</f>
        <v>3980000000</v>
      </c>
    </row>
    <row r="12" spans="1:13" x14ac:dyDescent="0.25">
      <c r="A12" s="3">
        <v>1</v>
      </c>
      <c r="B12" s="3">
        <f>+VLOOKUP($A12,'REGISTRO GENERAL'!$A$4:$AA$201,COLUMN($B$1))</f>
        <v>1045</v>
      </c>
      <c r="C12" s="3">
        <f>+VLOOKUP($A12,'REGISTRO GENERAL'!$A$4:$AA$201,COLUMN($C$1))</f>
        <v>2025</v>
      </c>
      <c r="D12" s="3">
        <v>12</v>
      </c>
      <c r="E12" s="4" t="str">
        <f>+VLOOKUP($A12,'REGISTRO GENERAL'!$A$4:$AA$201,COLUMN($E$1))</f>
        <v>Burró Gustale, Felipe Pascual</v>
      </c>
      <c r="F12" s="4" t="str">
        <f>+VLOOKUP($A12,'REGISTRO GENERAL'!$A$4:$AA$201,COLUMN('REGISTRO GENERAL'!M10))</f>
        <v>Hno de Viviana y Silvia</v>
      </c>
      <c r="G12" s="3" t="s">
        <v>10</v>
      </c>
      <c r="H12" s="3"/>
      <c r="I12" s="22">
        <f t="shared" ref="I12:I30" si="3">L12/$L$4</f>
        <v>0.18170227502493785</v>
      </c>
      <c r="J12" s="37">
        <f t="shared" si="1"/>
        <v>351013</v>
      </c>
      <c r="K12" s="37">
        <f>+'REGISTRO GENERAL'!Z4</f>
        <v>1755065</v>
      </c>
      <c r="L12" s="37">
        <f>+'REGISTRO GENERAL'!AB4</f>
        <v>35101300000</v>
      </c>
    </row>
    <row r="13" spans="1:13" x14ac:dyDescent="0.25">
      <c r="A13" s="3">
        <v>2</v>
      </c>
      <c r="B13" s="3">
        <f>+VLOOKUP($A13,'REGISTRO GENERAL'!$A$4:$AA$201,COLUMN($B$1))</f>
        <v>1045</v>
      </c>
      <c r="C13" s="3">
        <f>+VLOOKUP($A13,'REGISTRO GENERAL'!$A$4:$AA$201,COLUMN($C$1))</f>
        <v>2025</v>
      </c>
      <c r="D13" s="3">
        <v>12</v>
      </c>
      <c r="E13" s="4" t="str">
        <f>+VLOOKUP($A13,'REGISTRO GENERAL'!$A$4:$AA$201,COLUMN($E$1))</f>
        <v>Burró Gustale, María Viviana</v>
      </c>
      <c r="F13" s="4" t="str">
        <f>+VLOOKUP($A13,'REGISTRO GENERAL'!$A$4:$AA$201,COLUMN('REGISTRO GENERAL'!M11))</f>
        <v>Hna de Sr Felipe y Silvia</v>
      </c>
      <c r="G13" s="3" t="s">
        <v>10</v>
      </c>
      <c r="H13" s="3"/>
      <c r="I13" s="22">
        <f t="shared" si="3"/>
        <v>9.0487487595784871E-2</v>
      </c>
      <c r="J13" s="37">
        <f t="shared" si="1"/>
        <v>174804</v>
      </c>
      <c r="K13" s="37">
        <f>+'REGISTRO GENERAL'!Z5</f>
        <v>874020</v>
      </c>
      <c r="L13" s="37">
        <f>+'REGISTRO GENERAL'!AB5</f>
        <v>17480400000</v>
      </c>
    </row>
    <row r="14" spans="1:13" x14ac:dyDescent="0.25">
      <c r="A14" s="3">
        <v>3</v>
      </c>
      <c r="B14" s="3">
        <f>+VLOOKUP($A14,'REGISTRO GENERAL'!$A$4:$AA$201,COLUMN($B$1))</f>
        <v>1045</v>
      </c>
      <c r="C14" s="3">
        <f>+VLOOKUP($A14,'REGISTRO GENERAL'!$A$4:$AA$201,COLUMN($C$1))</f>
        <v>2025</v>
      </c>
      <c r="D14" s="3">
        <v>6</v>
      </c>
      <c r="E14" s="4" t="str">
        <f>+VLOOKUP($A14,'REGISTRO GENERAL'!$A$4:$AA$201,COLUMN($E$1))</f>
        <v>Burró Gustale, María Silvia</v>
      </c>
      <c r="F14" s="4" t="str">
        <f>+VLOOKUP($A14,'REGISTRO GENERAL'!$A$4:$AA$201,COLUMN('REGISTRO GENERAL'!M12))</f>
        <v>Hna de Sr Felipe y Viviana</v>
      </c>
      <c r="G14" s="3" t="s">
        <v>10</v>
      </c>
      <c r="H14" s="3"/>
      <c r="I14" s="22">
        <f t="shared" si="3"/>
        <v>8.3469691267691368E-2</v>
      </c>
      <c r="J14" s="37">
        <f t="shared" si="1"/>
        <v>161247</v>
      </c>
      <c r="K14" s="37">
        <f>+'REGISTRO GENERAL'!Z6</f>
        <v>806235</v>
      </c>
      <c r="L14" s="37">
        <f>+'REGISTRO GENERAL'!AB6</f>
        <v>16124700000</v>
      </c>
    </row>
    <row r="15" spans="1:13" x14ac:dyDescent="0.25">
      <c r="A15" s="3">
        <v>6</v>
      </c>
      <c r="B15" s="3">
        <f>+VLOOKUP($A15,'REGISTRO GENERAL'!$A$4:$AA$201,COLUMN($B$1))</f>
        <v>1045</v>
      </c>
      <c r="C15" s="3">
        <f>+VLOOKUP($A15,'REGISTRO GENERAL'!$A$4:$AA$201,COLUMN($C$1))</f>
        <v>2025</v>
      </c>
      <c r="D15" s="3">
        <f>+VLOOKUP($A15,'REGISTRO GENERAL'!$A$4:$AA$201,COLUMN(D14))</f>
        <v>12</v>
      </c>
      <c r="E15" s="4" t="str">
        <f>+VLOOKUP($A15,'REGISTRO GENERAL'!$A$4:$AA$201,COLUMN($E$1))</f>
        <v>Burró Mujica, Genaro Ramón</v>
      </c>
      <c r="F15" s="4" t="str">
        <f>+VLOOKUP($A15,'REGISTRO GENERAL'!$A$4:$AA$201,COLUMN('REGISTRO GENERAL'!M14))</f>
        <v>Tío de Felipe Burró Gustale</v>
      </c>
      <c r="G15" s="3" t="s">
        <v>10</v>
      </c>
      <c r="H15" s="3"/>
      <c r="I15" s="22">
        <f t="shared" si="3"/>
        <v>2.7020353524660642E-2</v>
      </c>
      <c r="J15" s="37">
        <f t="shared" si="1"/>
        <v>52198</v>
      </c>
      <c r="K15" s="37">
        <f>+'REGISTRO GENERAL'!Z9</f>
        <v>260990</v>
      </c>
      <c r="L15" s="37">
        <f>+'REGISTRO GENERAL'!AB9</f>
        <v>5219800000</v>
      </c>
    </row>
    <row r="16" spans="1:13" x14ac:dyDescent="0.25">
      <c r="A16" s="3">
        <v>18</v>
      </c>
      <c r="B16" s="3">
        <f>+VLOOKUP($A16,'REGISTRO GENERAL'!$A$4:$AA$201,COLUMN($B$1))</f>
        <v>1045</v>
      </c>
      <c r="C16" s="3">
        <f>+VLOOKUP($A16,'REGISTRO GENERAL'!$A$4:$AA$201,COLUMN($C$1))</f>
        <v>2025</v>
      </c>
      <c r="D16" s="3">
        <f>+VLOOKUP($A16,'REGISTRO GENERAL'!$A$4:$AA$201,COLUMN(D15))</f>
        <v>12</v>
      </c>
      <c r="E16" s="4" t="str">
        <f>+VLOOKUP($A16,'REGISTRO GENERAL'!$A$4:$AA$201,COLUMN($E$1))</f>
        <v>Mujica de Carrón, Daisy Avelina</v>
      </c>
      <c r="F16" s="4" t="str">
        <f>+VLOOKUP($A16,'REGISTRO GENERAL'!$A$4:$AA$201,COLUMN('REGISTRO GENERAL'!M15))</f>
        <v>Prima de Pascual, José y Ramón Burró Mujica.</v>
      </c>
      <c r="G16" s="3" t="s">
        <v>10</v>
      </c>
      <c r="H16" s="3"/>
      <c r="I16" s="22">
        <f t="shared" si="3"/>
        <v>9.3358380745862807E-3</v>
      </c>
      <c r="J16" s="37">
        <f t="shared" si="1"/>
        <v>18035</v>
      </c>
      <c r="K16" s="37">
        <f>+'REGISTRO GENERAL'!Z19</f>
        <v>104795</v>
      </c>
      <c r="L16" s="37">
        <f>+'REGISTRO GENERAL'!AB21</f>
        <v>1803500000</v>
      </c>
    </row>
    <row r="17" spans="1:13" x14ac:dyDescent="0.25">
      <c r="A17" s="3">
        <v>19</v>
      </c>
      <c r="B17" s="3">
        <f>+VLOOKUP($A17,'REGISTRO GENERAL'!$A$4:$AA$201,COLUMN($B$1))</f>
        <v>1045</v>
      </c>
      <c r="C17" s="3">
        <f>+VLOOKUP($A17,'REGISTRO GENERAL'!$A$4:$AA$201,COLUMN($C$1))</f>
        <v>2025</v>
      </c>
      <c r="D17" s="3">
        <f>+VLOOKUP($A17,'REGISTRO GENERAL'!$A$4:$AA$201,COLUMN(D15))</f>
        <v>12</v>
      </c>
      <c r="E17" s="4" t="str">
        <f>+VLOOKUP($A17,'REGISTRO GENERAL'!$A$4:$AA$201,COLUMN($E$1))</f>
        <v>Burró Muller, Birgit</v>
      </c>
      <c r="F17" s="4" t="str">
        <f>+VLOOKUP($A17,'REGISTRO GENERAL'!$A$4:$AA$201,COLUMN('REGISTRO GENERAL'!M16))</f>
        <v>Hija de Ramón Burró Mujica</v>
      </c>
      <c r="G17" s="3" t="s">
        <v>10</v>
      </c>
      <c r="H17" s="3"/>
      <c r="I17" s="22">
        <f t="shared" si="3"/>
        <v>9.0454357923659915E-3</v>
      </c>
      <c r="J17" s="37">
        <f t="shared" si="1"/>
        <v>17474</v>
      </c>
      <c r="K17" s="37">
        <f>+'REGISTRO GENERAL'!Z21</f>
        <v>90175</v>
      </c>
      <c r="L17" s="37">
        <f>+'REGISTRO GENERAL'!AB22</f>
        <v>1747400000</v>
      </c>
    </row>
    <row r="18" spans="1:13" x14ac:dyDescent="0.25">
      <c r="A18" s="3">
        <v>22</v>
      </c>
      <c r="B18" s="3">
        <f>+VLOOKUP($A18,'REGISTRO GENERAL'!$A$4:$AA$201,COLUMN($B$1))</f>
        <v>1045</v>
      </c>
      <c r="C18" s="3">
        <f>+VLOOKUP($A18,'REGISTRO GENERAL'!$A$4:$AA$201,COLUMN($C$1))</f>
        <v>2025</v>
      </c>
      <c r="D18" s="3">
        <f>+VLOOKUP($A18,'REGISTRO GENERAL'!$A$4:$AA$201,COLUMN(D114))</f>
        <v>12</v>
      </c>
      <c r="E18" s="4" t="str">
        <f>+VLOOKUP($A18,'REGISTRO GENERAL'!$A$4:$AA$201,COLUMN($E$1))</f>
        <v>Urbieta de Burró, María Elizabeth</v>
      </c>
      <c r="F18" s="4" t="str">
        <f>+VLOOKUP($A18,'REGISTRO GENERAL'!$A$4:$AA$201,COLUMN('REGISTRO GENERAL'!M17))</f>
        <v>Tía de Felipe Burró Gustale</v>
      </c>
      <c r="G18" s="3" t="s">
        <v>10</v>
      </c>
      <c r="H18" s="3"/>
      <c r="I18" s="22">
        <f t="shared" si="3"/>
        <v>8.4993138534312247E-3</v>
      </c>
      <c r="J18" s="37">
        <f t="shared" si="1"/>
        <v>16419</v>
      </c>
      <c r="K18" s="37">
        <f>+'REGISTRO GENERAL'!Z24</f>
        <v>83980</v>
      </c>
      <c r="L18" s="37">
        <f>+'REGISTRO GENERAL'!AB25</f>
        <v>1641900000</v>
      </c>
    </row>
    <row r="19" spans="1:13" x14ac:dyDescent="0.25">
      <c r="A19" s="3">
        <v>24</v>
      </c>
      <c r="B19" s="3">
        <f>+VLOOKUP($A19,'REGISTRO GENERAL'!$A$4:$AA$201,COLUMN($B$1))</f>
        <v>1045</v>
      </c>
      <c r="C19" s="3">
        <f>+VLOOKUP($A19,'REGISTRO GENERAL'!$A$4:$AA$201,COLUMN($C$1))</f>
        <v>2025</v>
      </c>
      <c r="D19" s="3">
        <f>+VLOOKUP($A19,'REGISTRO GENERAL'!$A$4:$AA$201,COLUMN(D115))</f>
        <v>12</v>
      </c>
      <c r="E19" s="4" t="str">
        <f>+VLOOKUP($A19,'REGISTRO GENERAL'!$A$4:$AA$201,COLUMN($E$1))</f>
        <v>Burró Urbieta, Ángel José</v>
      </c>
      <c r="F19" s="4" t="e">
        <f>+VLOOKUP($A19,'REGISTRO GENERAL'!$A$4:$AA$201,COLUMN('REGISTRO GENERAL'!#REF!))</f>
        <v>#REF!</v>
      </c>
      <c r="G19" s="3" t="s">
        <v>10</v>
      </c>
      <c r="H19" s="3"/>
      <c r="I19" s="22">
        <f t="shared" si="3"/>
        <v>7.0633496272653057E-3</v>
      </c>
      <c r="J19" s="37">
        <f t="shared" si="1"/>
        <v>13645</v>
      </c>
      <c r="K19" s="37">
        <f>+'REGISTRO GENERAL'!Z25</f>
        <v>82095</v>
      </c>
      <c r="L19" s="37">
        <f>+'REGISTRO GENERAL'!AB27</f>
        <v>1364500000</v>
      </c>
    </row>
    <row r="20" spans="1:13" x14ac:dyDescent="0.25">
      <c r="A20" s="3">
        <v>113</v>
      </c>
      <c r="B20" s="3">
        <f>+VLOOKUP($A20,'REGISTRO GENERAL'!$A$4:$AA$201,COLUMN($B$1))</f>
        <v>1045</v>
      </c>
      <c r="C20" s="3">
        <f>+VLOOKUP($A20,'REGISTRO GENERAL'!$A$4:$AA$201,COLUMN($C$1))</f>
        <v>2025</v>
      </c>
      <c r="D20" s="3">
        <f>+VLOOKUP($A20,'REGISTRO GENERAL'!$A$4:$AA$201,COLUMN(D116))</f>
        <v>6</v>
      </c>
      <c r="E20" s="4" t="str">
        <f>+VLOOKUP($A20,'REGISTRO GENERAL'!$A$4:$AA$201,COLUMN($E$1))</f>
        <v>Burró Urbieta, Ángel José</v>
      </c>
      <c r="F20" s="4" t="e">
        <f>+VLOOKUP($A20,'REGISTRO GENERAL'!$A$4:$AA$201,COLUMN('REGISTRO GENERAL'!#REF!))</f>
        <v>#REF!</v>
      </c>
      <c r="G20" s="3"/>
      <c r="H20" s="3" t="s">
        <v>239</v>
      </c>
      <c r="I20" s="22">
        <f t="shared" si="3"/>
        <v>4.0583848353067058E-4</v>
      </c>
      <c r="J20" s="37">
        <f t="shared" si="1"/>
        <v>784</v>
      </c>
      <c r="K20" s="37" t="s">
        <v>240</v>
      </c>
      <c r="L20" s="37">
        <v>78400000</v>
      </c>
    </row>
    <row r="21" spans="1:13" x14ac:dyDescent="0.25">
      <c r="A21" s="3">
        <v>156</v>
      </c>
      <c r="B21" s="3">
        <f>+VLOOKUP($A21,'REGISTRO GENERAL'!$A$4:$AA$201,COLUMN($B$1))</f>
        <v>1045</v>
      </c>
      <c r="C21" s="3">
        <f>+VLOOKUP($A21,'REGISTRO GENERAL'!$A$4:$AA$201,COLUMN($C$1))</f>
        <v>2024</v>
      </c>
      <c r="D21" s="3">
        <f>+VLOOKUP($A21,'REGISTRO GENERAL'!$A$4:$AA$201,COLUMN(D117))</f>
        <v>6</v>
      </c>
      <c r="E21" s="4" t="str">
        <f>+VLOOKUP($A21,'REGISTRO GENERAL'!$A$4:$AA$201,COLUMN($E$1))</f>
        <v>Burró Urbieta, Ángel José</v>
      </c>
      <c r="F21" s="4" t="e">
        <f>+VLOOKUP($A21,'REGISTRO GENERAL'!$A$4:$AA$201,COLUMN('REGISTRO GENERAL'!#REF!))</f>
        <v>#REF!</v>
      </c>
      <c r="G21" s="3"/>
      <c r="H21" s="3" t="s">
        <v>241</v>
      </c>
      <c r="I21" s="22">
        <f t="shared" si="3"/>
        <v>4.0583848353067058E-4</v>
      </c>
      <c r="J21" s="37">
        <f t="shared" si="1"/>
        <v>784</v>
      </c>
      <c r="K21" s="37" t="s">
        <v>240</v>
      </c>
      <c r="L21" s="37">
        <v>78400000</v>
      </c>
    </row>
    <row r="22" spans="1:13" x14ac:dyDescent="0.25">
      <c r="A22" s="3">
        <v>41</v>
      </c>
      <c r="B22" s="3">
        <f>+VLOOKUP($A22,'REGISTRO GENERAL'!$A$4:$AA$201,COLUMN($B$1))</f>
        <v>1045</v>
      </c>
      <c r="C22" s="3">
        <f>+VLOOKUP($A22,'REGISTRO GENERAL'!$A$4:$AA$201,COLUMN($C$1))</f>
        <v>2025</v>
      </c>
      <c r="D22" s="3">
        <f>+VLOOKUP($A22,'REGISTRO GENERAL'!$A$4:$AA$201,COLUMN(D16))</f>
        <v>12</v>
      </c>
      <c r="E22" s="4" t="str">
        <f>+VLOOKUP($A22,'REGISTRO GENERAL'!$A$4:$AA$201,COLUMN($E$1))</f>
        <v>Fontclara Sotomayor, Alba Marina</v>
      </c>
      <c r="F22" s="4" t="str">
        <f>+VLOOKUP($A22,'REGISTRO GENERAL'!$A$4:$AA$201,COLUMN('REGISTRO GENERAL'!M18))</f>
        <v>Esposa de Felipe Burró Gustale</v>
      </c>
      <c r="G22" s="3" t="s">
        <v>10</v>
      </c>
      <c r="H22" s="3"/>
      <c r="I22" s="22">
        <f t="shared" si="3"/>
        <v>2.8527753606345987E-3</v>
      </c>
      <c r="J22" s="37">
        <f t="shared" si="1"/>
        <v>5511</v>
      </c>
      <c r="K22" s="37">
        <f>+'REGISTRO GENERAL'!Z43</f>
        <v>28495</v>
      </c>
      <c r="L22" s="37">
        <f>+'REGISTRO GENERAL'!AB44</f>
        <v>551100000</v>
      </c>
    </row>
    <row r="23" spans="1:13" x14ac:dyDescent="0.25">
      <c r="A23" s="3">
        <v>43</v>
      </c>
      <c r="B23" s="3">
        <f>+VLOOKUP($A23,'REGISTRO GENERAL'!$A$4:$AA$201,COLUMN($B$1))</f>
        <v>1045</v>
      </c>
      <c r="C23" s="3">
        <f>+VLOOKUP($A23,'REGISTRO GENERAL'!$A$4:$AA$201,COLUMN($C$1))</f>
        <v>2025</v>
      </c>
      <c r="D23" s="3">
        <f>+VLOOKUP($A23,'REGISTRO GENERAL'!$A$4:$AA$201,COLUMN(D17))</f>
        <v>12</v>
      </c>
      <c r="E23" s="4" t="str">
        <f>+VLOOKUP($A23,'REGISTRO GENERAL'!$A$4:$AA$201,COLUMN($E$1))</f>
        <v>Gustale Portillo, Eduardo</v>
      </c>
      <c r="F23" s="4" t="str">
        <f>+VLOOKUP($A23,'REGISTRO GENERAL'!$A$4:$AA$201,COLUMN('REGISTRO GENERAL'!M19))</f>
        <v>Cuñado de Pascual Burró Mujica y Hno. de Silvia Gustale de Burró</v>
      </c>
      <c r="G23" s="3" t="s">
        <v>10</v>
      </c>
      <c r="H23" s="3"/>
      <c r="I23" s="22">
        <f t="shared" si="3"/>
        <v>2.4629840620394518E-3</v>
      </c>
      <c r="J23" s="37">
        <f t="shared" si="1"/>
        <v>4757.9999999999991</v>
      </c>
      <c r="K23" s="37">
        <f>+'REGISTRO GENERAL'!Z46</f>
        <v>23789.999999999996</v>
      </c>
      <c r="L23" s="37">
        <f>+'REGISTRO GENERAL'!AB46</f>
        <v>475799999.99999994</v>
      </c>
    </row>
    <row r="24" spans="1:13" x14ac:dyDescent="0.25">
      <c r="A24" s="3">
        <v>46</v>
      </c>
      <c r="B24" s="3">
        <f>+VLOOKUP($A24,'REGISTRO GENERAL'!$A$4:$AA$201,COLUMN($B$1))</f>
        <v>1045</v>
      </c>
      <c r="C24" s="3">
        <f>+VLOOKUP($A24,'REGISTRO GENERAL'!$A$4:$AA$201,COLUMN($C$1))</f>
        <v>2025</v>
      </c>
      <c r="D24" s="3">
        <f>+VLOOKUP($A24,'REGISTRO GENERAL'!$A$4:$AA$201,COLUMN(D17))</f>
        <v>12</v>
      </c>
      <c r="E24" s="4" t="str">
        <f>+VLOOKUP($A24,'REGISTRO GENERAL'!$A$4:$AA$201,COLUMN($E$1))</f>
        <v xml:space="preserve">Burró Urbieta, María Eugenia </v>
      </c>
      <c r="F24" s="4" t="str">
        <f>+VLOOKUP($A24,'REGISTRO GENERAL'!$A$4:$AA$201,COLUMN('REGISTRO GENERAL'!M20))</f>
        <v>Prima de Felipe Burró Gustale</v>
      </c>
      <c r="G24" s="3" t="s">
        <v>10</v>
      </c>
      <c r="H24" s="3"/>
      <c r="I24" s="22">
        <f t="shared" si="3"/>
        <v>2.2787002608444028E-3</v>
      </c>
      <c r="J24" s="37">
        <f t="shared" si="1"/>
        <v>4402</v>
      </c>
      <c r="K24" s="37">
        <f>+'REGISTRO GENERAL'!Z52</f>
        <v>21600</v>
      </c>
      <c r="L24" s="37">
        <f>+'REGISTRO GENERAL'!AB49</f>
        <v>440200000</v>
      </c>
    </row>
    <row r="25" spans="1:13" x14ac:dyDescent="0.25">
      <c r="A25" s="3">
        <v>48</v>
      </c>
      <c r="B25" s="3">
        <f>+VLOOKUP($A25,'REGISTRO GENERAL'!$A$4:$AA$201,COLUMN($B$1))</f>
        <v>1045</v>
      </c>
      <c r="C25" s="3">
        <f>+VLOOKUP($A25,'REGISTRO GENERAL'!$A$4:$AA$201,COLUMN($C$1))</f>
        <v>2025</v>
      </c>
      <c r="D25" s="3">
        <f>+VLOOKUP($A25,'REGISTRO GENERAL'!$A$4:$AA$201,COLUMN(D129))</f>
        <v>12</v>
      </c>
      <c r="E25" s="4" t="str">
        <f>+VLOOKUP($A25,'REGISTRO GENERAL'!$A$4:$AA$201,COLUMN($E$1))</f>
        <v>Burró Urbieta, María Alejandra</v>
      </c>
      <c r="F25" s="4" t="str">
        <f>+VLOOKUP($A25,'REGISTRO GENERAL'!$A$4:$AA$201,COLUMN('REGISTRO GENERAL'!M21))</f>
        <v>Prima de Felipe Burró Gustale</v>
      </c>
      <c r="G25" s="3" t="s">
        <v>10</v>
      </c>
      <c r="H25" s="3"/>
      <c r="I25" s="22">
        <f t="shared" si="3"/>
        <v>2.2362528684343073E-3</v>
      </c>
      <c r="J25" s="37">
        <f t="shared" si="1"/>
        <v>4320</v>
      </c>
      <c r="K25" s="37">
        <f>+'REGISTRO GENERAL'!Z53</f>
        <v>21160</v>
      </c>
      <c r="L25" s="37">
        <f>+'REGISTRO GENERAL'!AB51</f>
        <v>432000000</v>
      </c>
      <c r="M25" s="34"/>
    </row>
    <row r="26" spans="1:13" x14ac:dyDescent="0.25">
      <c r="A26" s="3">
        <v>49</v>
      </c>
      <c r="B26" s="3">
        <f>+VLOOKUP($A26,'REGISTRO GENERAL'!$A$4:$AA$201,COLUMN($B$1))</f>
        <v>1045</v>
      </c>
      <c r="C26" s="3">
        <f>+VLOOKUP($A26,'REGISTRO GENERAL'!$A$4:$AA$201,COLUMN($C$1))</f>
        <v>2025</v>
      </c>
      <c r="D26" s="3">
        <f>+VLOOKUP($A26,'REGISTRO GENERAL'!$A$4:$AA$201,COLUMN(D22))</f>
        <v>12</v>
      </c>
      <c r="E26" s="4" t="str">
        <f>+VLOOKUP($A26,'REGISTRO GENERAL'!$A$4:$AA$201,COLUMN($E$1))</f>
        <v>Burró Urbieta, MarÍa Inés</v>
      </c>
      <c r="F26" s="4" t="str">
        <f>+VLOOKUP($A26,'REGISTRO GENERAL'!$A$4:$AA$201,COLUMN('REGISTRO GENERAL'!M21))</f>
        <v>Prima de Felipe Burró Gustale</v>
      </c>
      <c r="G26" s="3" t="s">
        <v>10</v>
      </c>
      <c r="H26" s="3"/>
      <c r="I26" s="22">
        <f t="shared" si="3"/>
        <v>2.2362528684343073E-3</v>
      </c>
      <c r="J26" s="37">
        <f t="shared" si="1"/>
        <v>4320</v>
      </c>
      <c r="K26" s="37">
        <f>+'REGISTRO GENERAL'!Z56</f>
        <v>20670</v>
      </c>
      <c r="L26" s="37">
        <f>+'REGISTRO GENERAL'!AB52</f>
        <v>432000000</v>
      </c>
    </row>
    <row r="27" spans="1:13" x14ac:dyDescent="0.25">
      <c r="A27" s="3">
        <v>61</v>
      </c>
      <c r="B27" s="3">
        <f>+VLOOKUP($A27,'REGISTRO GENERAL'!$A$4:$AA$201,COLUMN($B$1))</f>
        <v>1045</v>
      </c>
      <c r="C27" s="3">
        <f>+VLOOKUP($A27,'REGISTRO GENERAL'!$A$4:$AA$201,COLUMN($C$1))</f>
        <v>2025</v>
      </c>
      <c r="D27" s="3">
        <f>+VLOOKUP($A27,'REGISTRO GENERAL'!$A$4:$AA$201,COLUMN(D23))</f>
        <v>12</v>
      </c>
      <c r="E27" s="4" t="str">
        <f>+VLOOKUP($A27,'REGISTRO GENERAL'!$A$4:$AA$201,COLUMN($E$1))</f>
        <v>Esculies Burró, Sofia</v>
      </c>
      <c r="F27" s="4" t="str">
        <f>+VLOOKUP($A27,'REGISTRO GENERAL'!$A$4:$AA$201,COLUMN('REGISTRO GENERAL'!M22))</f>
        <v>hija de la Sra. Silvia Burró - sobrina del Sr. Felipe</v>
      </c>
      <c r="G27" s="3" t="s">
        <v>10</v>
      </c>
      <c r="H27" s="3"/>
      <c r="I27" s="22">
        <f t="shared" ref="I27" si="4">L27/$L$4</f>
        <v>1.6958250918960164E-3</v>
      </c>
      <c r="J27" s="37">
        <f t="shared" ref="J27" si="5">L27/100000</f>
        <v>3276</v>
      </c>
      <c r="K27" s="37">
        <f>3276*5</f>
        <v>16380</v>
      </c>
      <c r="L27" s="37">
        <f>+'REGISTRO GENERAL'!AB64</f>
        <v>327600000</v>
      </c>
    </row>
    <row r="28" spans="1:13" x14ac:dyDescent="0.25">
      <c r="A28" s="3">
        <v>63</v>
      </c>
      <c r="B28" s="3">
        <f>+VLOOKUP($A28,'REGISTRO GENERAL'!$A$4:$AA$201,COLUMN($B$1))</f>
        <v>1045</v>
      </c>
      <c r="C28" s="3">
        <f>+VLOOKUP($A28,'REGISTRO GENERAL'!$A$4:$AA$201,COLUMN($C$1))</f>
        <v>2025</v>
      </c>
      <c r="D28" s="3">
        <f>+VLOOKUP($A28,'REGISTRO GENERAL'!$A$4:$AA$201,COLUMN(D24))</f>
        <v>12</v>
      </c>
      <c r="E28" s="4" t="str">
        <f>+VLOOKUP($A28,'REGISTRO GENERAL'!$A$4:$AA$201,COLUMN($E$1))</f>
        <v>Reimert Burró, Erik</v>
      </c>
      <c r="F28" s="4" t="str">
        <f>+VLOOKUP($A28,'REGISTRO GENERAL'!$A$4:$AA$201,COLUMN('REGISTRO GENERAL'!M22))</f>
        <v>hijo de la Sra. Viviana Burró - sobrino del Sr. Felipe</v>
      </c>
      <c r="G28" s="3" t="s">
        <v>10</v>
      </c>
      <c r="H28" s="3"/>
      <c r="I28" s="22">
        <f t="shared" si="3"/>
        <v>1.6797779069604923E-3</v>
      </c>
      <c r="J28" s="37">
        <f t="shared" si="1"/>
        <v>3245</v>
      </c>
      <c r="K28" s="37">
        <f>+'REGISTRO GENERAL'!Z68</f>
        <v>13905</v>
      </c>
      <c r="L28" s="37">
        <f>+'REGISTRO GENERAL'!AB66</f>
        <v>324500000</v>
      </c>
    </row>
    <row r="29" spans="1:13" x14ac:dyDescent="0.25">
      <c r="A29" s="3">
        <v>69</v>
      </c>
      <c r="B29" s="3">
        <f>+VLOOKUP($A29,'REGISTRO GENERAL'!$A$4:$AA$201,COLUMN($B$1))</f>
        <v>1045</v>
      </c>
      <c r="C29" s="3">
        <f>+VLOOKUP($A29,'REGISTRO GENERAL'!$A$4:$AA$201,COLUMN($C$1))</f>
        <v>2025</v>
      </c>
      <c r="D29" s="3">
        <f>+VLOOKUP($A29,'REGISTRO GENERAL'!$A$4:$AA$201,COLUMN(D24))</f>
        <v>12</v>
      </c>
      <c r="E29" s="4" t="str">
        <f>+VLOOKUP($A29,'REGISTRO GENERAL'!$A$4:$AA$201,COLUMN($E$1))</f>
        <v>Reimert Burró, Nicole Marie</v>
      </c>
      <c r="F29" s="4" t="str">
        <f>+VLOOKUP($A29,'REGISTRO GENERAL'!$A$4:$AA$201,COLUMN('REGISTRO GENERAL'!M22))</f>
        <v>hija de la Sra. Viviana Burró - sobrino del Sr. Felipe</v>
      </c>
      <c r="G29" s="3" t="s">
        <v>10</v>
      </c>
      <c r="H29" s="3"/>
      <c r="I29" s="22">
        <f t="shared" si="3"/>
        <v>1.1315853635179157E-3</v>
      </c>
      <c r="J29" s="37">
        <f t="shared" si="1"/>
        <v>2186</v>
      </c>
      <c r="K29" s="37">
        <f>+'REGISTRO GENERAL'!Z72</f>
        <v>10930</v>
      </c>
      <c r="L29" s="37">
        <f>+'REGISTRO GENERAL'!AB72</f>
        <v>218600000</v>
      </c>
    </row>
    <row r="30" spans="1:13" x14ac:dyDescent="0.25">
      <c r="A30" s="3">
        <v>83</v>
      </c>
      <c r="B30" s="3">
        <f>+VLOOKUP($A30,'REGISTRO GENERAL'!$A$4:$AA$201,COLUMN($B$1))</f>
        <v>1045</v>
      </c>
      <c r="C30" s="3">
        <f>+VLOOKUP($A30,'REGISTRO GENERAL'!$A$4:$AA$201,COLUMN($C$1))</f>
        <v>2025</v>
      </c>
      <c r="D30" s="3">
        <f>+VLOOKUP($A30,'REGISTRO GENERAL'!$A$4:$AA$201,COLUMN(D25))</f>
        <v>12</v>
      </c>
      <c r="E30" s="4" t="str">
        <f>+VLOOKUP($A30,'REGISTRO GENERAL'!$A$4:$AA$201,COLUMN($E$1))</f>
        <v>Burró Rivarola, Enzo Pascual</v>
      </c>
      <c r="F30" s="4">
        <f>+VLOOKUP($A30,'REGISTRO GENERAL'!$A$4:$AA$201,COLUMN('REGISTRO GENERAL'!M23))</f>
        <v>0</v>
      </c>
      <c r="G30" s="3" t="s">
        <v>10</v>
      </c>
      <c r="H30" s="3"/>
      <c r="I30" s="22">
        <f t="shared" si="3"/>
        <v>5.8908698247181522E-4</v>
      </c>
      <c r="J30" s="37">
        <f t="shared" si="1"/>
        <v>1138</v>
      </c>
      <c r="K30" s="37">
        <v>5000</v>
      </c>
      <c r="L30" s="37">
        <f>+'REGISTRO GENERAL'!AB86</f>
        <v>113800000</v>
      </c>
    </row>
    <row r="31" spans="1:13" x14ac:dyDescent="0.25">
      <c r="A31" s="123" t="s">
        <v>30</v>
      </c>
      <c r="B31" s="124"/>
      <c r="C31" s="124"/>
      <c r="D31" s="125"/>
      <c r="E31" s="23" t="s">
        <v>32</v>
      </c>
      <c r="F31" s="24"/>
      <c r="G31" s="26"/>
      <c r="H31" s="27"/>
      <c r="I31" s="28">
        <f>+SUM(I12:I30)</f>
        <v>0.43459866249301821</v>
      </c>
      <c r="J31" s="29">
        <f>+SUM(J12:J30)</f>
        <v>839559</v>
      </c>
      <c r="K31" s="29">
        <f>+SUM(K12:K30)</f>
        <v>4219285</v>
      </c>
      <c r="L31" s="29">
        <f>+SUM(L12:L30)</f>
        <v>83955900000</v>
      </c>
    </row>
    <row r="32" spans="1:13" x14ac:dyDescent="0.25">
      <c r="A32" s="3">
        <v>8</v>
      </c>
      <c r="B32" s="3">
        <f>+VLOOKUP($A32,'REGISTRO GENERAL'!$A$4:$AA$201,COLUMN($B$1))</f>
        <v>1045</v>
      </c>
      <c r="C32" s="3">
        <f>+VLOOKUP($A32,'REGISTRO GENERAL'!$A$4:$AA$201,COLUMN($C$1))</f>
        <v>2025</v>
      </c>
      <c r="D32" s="3">
        <f>+VLOOKUP($A32,'REGISTRO GENERAL'!$A$4:$AA$201,COLUMN(D28))</f>
        <v>12</v>
      </c>
      <c r="E32" s="4" t="str">
        <f>+VLOOKUP($A32,'REGISTRO GENERAL'!$A$4:$AA$201,COLUMN($E$1))</f>
        <v>Díaz Benza Cameron, Cristina</v>
      </c>
      <c r="F32" s="4" t="str">
        <f>+VLOOKUP($A32,'REGISTRO GENERAL'!$A$4:$AA$201,COLUMN('REGISTRO GENERAL'!M24))</f>
        <v>Hna. de Leticia, Fátima, Juan Carlos, José María y Enrique Díaz Benza Cámeron</v>
      </c>
      <c r="G32" s="3" t="s">
        <v>10</v>
      </c>
      <c r="H32" s="3"/>
      <c r="I32" s="22">
        <f t="shared" ref="I32:I38" si="6">L32/$L$4</f>
        <v>2.3085687308695556E-2</v>
      </c>
      <c r="J32" s="37">
        <f t="shared" si="1"/>
        <v>44597</v>
      </c>
      <c r="K32" s="37">
        <f>+'REGISTRO GENERAL'!Z10</f>
        <v>251015</v>
      </c>
      <c r="L32" s="37">
        <f>+'REGISTRO GENERAL'!AB11</f>
        <v>4459700000</v>
      </c>
      <c r="M32" s="34"/>
    </row>
    <row r="33" spans="1:12" x14ac:dyDescent="0.25">
      <c r="A33" s="3">
        <v>9</v>
      </c>
      <c r="B33" s="3">
        <f>+VLOOKUP($A33,'REGISTRO GENERAL'!$A$4:$AA$201,COLUMN($B$1))</f>
        <v>1045</v>
      </c>
      <c r="C33" s="3">
        <f>+VLOOKUP($A33,'REGISTRO GENERAL'!$A$4:$AA$201,COLUMN($C$1))</f>
        <v>2025</v>
      </c>
      <c r="D33" s="3">
        <f>+VLOOKUP($A33,'REGISTRO GENERAL'!$A$4:$AA$201,COLUMN(D30))</f>
        <v>12</v>
      </c>
      <c r="E33" s="4" t="str">
        <f>+VLOOKUP($A33,'REGISTRO GENERAL'!$A$4:$AA$201,COLUMN($E$1))</f>
        <v>Díaz Benza Cameron, Enrique</v>
      </c>
      <c r="F33" s="4" t="str">
        <f>+VLOOKUP($A33,'REGISTRO GENERAL'!$A$4:$AA$201,COLUMN('REGISTRO GENERAL'!M25))</f>
        <v>Hna. de Cristina, Leticia, Fátima, Juan Carlos y José María Díaz Benza Cámeron</v>
      </c>
      <c r="G33" s="3" t="s">
        <v>10</v>
      </c>
      <c r="H33" s="3"/>
      <c r="I33" s="22">
        <f t="shared" si="6"/>
        <v>2.3085687308695556E-2</v>
      </c>
      <c r="J33" s="37">
        <f t="shared" si="1"/>
        <v>44597</v>
      </c>
      <c r="K33" s="37">
        <f>+'REGISTRO GENERAL'!Z11</f>
        <v>222985</v>
      </c>
      <c r="L33" s="37">
        <f>+'REGISTRO GENERAL'!AB12</f>
        <v>4459700000</v>
      </c>
    </row>
    <row r="34" spans="1:12" x14ac:dyDescent="0.25">
      <c r="A34" s="3">
        <v>10</v>
      </c>
      <c r="B34" s="3">
        <f>+VLOOKUP($A34,'REGISTRO GENERAL'!$A$4:$AA$201,COLUMN($B$1))</f>
        <v>1045</v>
      </c>
      <c r="C34" s="3">
        <f>+VLOOKUP($A34,'REGISTRO GENERAL'!$A$4:$AA$201,COLUMN($C$1))</f>
        <v>2025</v>
      </c>
      <c r="D34" s="3">
        <f>+VLOOKUP($A34,'REGISTRO GENERAL'!$A$4:$AA$201,COLUMN(D31))</f>
        <v>12</v>
      </c>
      <c r="E34" s="4" t="str">
        <f>+VLOOKUP($A34,'REGISTRO GENERAL'!$A$4:$AA$201,COLUMN($E$1))</f>
        <v>Díaz Benza Cameron, Fátima</v>
      </c>
      <c r="F34" s="4" t="str">
        <f>+VLOOKUP($A34,'REGISTRO GENERAL'!$A$4:$AA$201,COLUMN('REGISTRO GENERAL'!M26))</f>
        <v>Hna. de Cristina, Leticia,  Juan Carlos, José María y Enrique Díaz Benza Cámeron</v>
      </c>
      <c r="G34" s="3" t="s">
        <v>10</v>
      </c>
      <c r="H34" s="3"/>
      <c r="I34" s="22">
        <f t="shared" si="6"/>
        <v>2.3085687308695556E-2</v>
      </c>
      <c r="J34" s="37">
        <f t="shared" si="1"/>
        <v>44597</v>
      </c>
      <c r="K34" s="37">
        <f>+'REGISTRO GENERAL'!Z12</f>
        <v>222985</v>
      </c>
      <c r="L34" s="37">
        <f>+'REGISTRO GENERAL'!AB13</f>
        <v>4459700000</v>
      </c>
    </row>
    <row r="35" spans="1:12" x14ac:dyDescent="0.25">
      <c r="A35" s="3">
        <v>11</v>
      </c>
      <c r="B35" s="3">
        <f>+VLOOKUP($A35,'REGISTRO GENERAL'!$A$4:$AA$201,COLUMN($B$1))</f>
        <v>1045</v>
      </c>
      <c r="C35" s="3">
        <f>+VLOOKUP($A35,'REGISTRO GENERAL'!$A$4:$AA$201,COLUMN($C$1))</f>
        <v>2025</v>
      </c>
      <c r="D35" s="3">
        <f>+VLOOKUP($A35,'REGISTRO GENERAL'!$A$4:$AA$201,COLUMN(D32))</f>
        <v>12</v>
      </c>
      <c r="E35" s="4" t="str">
        <f>+VLOOKUP($A35,'REGISTRO GENERAL'!$A$4:$AA$201,COLUMN($E$1))</f>
        <v>Díaz Benza Cameron, José M.</v>
      </c>
      <c r="F35" s="4" t="str">
        <f>+VLOOKUP($A35,'REGISTRO GENERAL'!$A$4:$AA$201,COLUMN('REGISTRO GENERAL'!M27))</f>
        <v>Hna. de Cristina, Leticia, Fátima, Juan Carlos y Enrique Díaz Benza Cámeron</v>
      </c>
      <c r="G35" s="3" t="s">
        <v>10</v>
      </c>
      <c r="H35" s="3"/>
      <c r="I35" s="22">
        <f t="shared" si="6"/>
        <v>2.3085687308695556E-2</v>
      </c>
      <c r="J35" s="37">
        <f t="shared" si="1"/>
        <v>44597</v>
      </c>
      <c r="K35" s="37">
        <f>+'REGISTRO GENERAL'!Z13</f>
        <v>222985</v>
      </c>
      <c r="L35" s="37">
        <f>+'REGISTRO GENERAL'!AB14</f>
        <v>4459700000</v>
      </c>
    </row>
    <row r="36" spans="1:12" x14ac:dyDescent="0.25">
      <c r="A36" s="3">
        <v>12</v>
      </c>
      <c r="B36" s="3">
        <f>+VLOOKUP($A36,'REGISTRO GENERAL'!$A$4:$AA$201,COLUMN($B$1))</f>
        <v>1045</v>
      </c>
      <c r="C36" s="3">
        <f>+VLOOKUP($A36,'REGISTRO GENERAL'!$A$4:$AA$201,COLUMN($C$1))</f>
        <v>2025</v>
      </c>
      <c r="D36" s="3">
        <f>+VLOOKUP($A36,'REGISTRO GENERAL'!$A$4:$AA$201,COLUMN(D33))</f>
        <v>12</v>
      </c>
      <c r="E36" s="4" t="str">
        <f>+VLOOKUP($A36,'REGISTRO GENERAL'!$A$4:$AA$201,COLUMN($E$1))</f>
        <v>Díaz Benza Cameron, Juan C.</v>
      </c>
      <c r="F36" s="4" t="str">
        <f>+VLOOKUP($A36,'REGISTRO GENERAL'!$A$4:$AA$201,COLUMN('REGISTRO GENERAL'!M28))</f>
        <v>Hna. de Cristina, Leticia, Fátima,  José María y Enrique Díaz Benza Cámeron</v>
      </c>
      <c r="G36" s="3" t="s">
        <v>10</v>
      </c>
      <c r="H36" s="3"/>
      <c r="I36" s="22">
        <f t="shared" si="6"/>
        <v>2.3085687308695556E-2</v>
      </c>
      <c r="J36" s="37">
        <f t="shared" si="1"/>
        <v>44597</v>
      </c>
      <c r="K36" s="37">
        <f>+'REGISTRO GENERAL'!Z14</f>
        <v>222985</v>
      </c>
      <c r="L36" s="37">
        <f>+'REGISTRO GENERAL'!AB15</f>
        <v>4459700000</v>
      </c>
    </row>
    <row r="37" spans="1:12" x14ac:dyDescent="0.25">
      <c r="A37" s="3">
        <v>13</v>
      </c>
      <c r="B37" s="3">
        <f>+VLOOKUP($A37,'REGISTRO GENERAL'!$A$4:$AA$201,COLUMN($B$1))</f>
        <v>1045</v>
      </c>
      <c r="C37" s="3">
        <f>+VLOOKUP($A37,'REGISTRO GENERAL'!$A$4:$AA$201,COLUMN($C$1))</f>
        <v>2025</v>
      </c>
      <c r="D37" s="3">
        <f>+VLOOKUP($A37,'REGISTRO GENERAL'!$A$4:$AA$201,COLUMN(D34))</f>
        <v>12</v>
      </c>
      <c r="E37" s="4" t="str">
        <f>+VLOOKUP($A37,'REGISTRO GENERAL'!$A$4:$AA$201,COLUMN($E$1))</f>
        <v>Díaz Benza Cameron, Leticia</v>
      </c>
      <c r="F37" s="4" t="str">
        <f>+VLOOKUP($A37,'REGISTRO GENERAL'!$A$4:$AA$201,COLUMN('REGISTRO GENERAL'!M29))</f>
        <v>Hna. de Cristina,  Fátima, Juan Carlos, José María y Enrique Díaz Benza Cámeron</v>
      </c>
      <c r="G37" s="3" t="s">
        <v>10</v>
      </c>
      <c r="H37" s="3"/>
      <c r="I37" s="22">
        <f t="shared" si="6"/>
        <v>2.3085687308695556E-2</v>
      </c>
      <c r="J37" s="37">
        <f t="shared" si="1"/>
        <v>44597</v>
      </c>
      <c r="K37" s="37">
        <f>+'REGISTRO GENERAL'!Z15</f>
        <v>222985</v>
      </c>
      <c r="L37" s="37">
        <f>+'REGISTRO GENERAL'!AB16</f>
        <v>4459700000</v>
      </c>
    </row>
    <row r="38" spans="1:12" x14ac:dyDescent="0.25">
      <c r="A38" s="3">
        <v>58</v>
      </c>
      <c r="B38" s="3">
        <f>+VLOOKUP($A38,'REGISTRO GENERAL'!$A$4:$AA$201,COLUMN($B$1))</f>
        <v>1045</v>
      </c>
      <c r="C38" s="3">
        <f>+VLOOKUP($A38,'REGISTRO GENERAL'!$A$4:$AA$201,COLUMN($C$1))</f>
        <v>2025</v>
      </c>
      <c r="D38" s="3">
        <f>+VLOOKUP($A38,'REGISTRO GENERAL'!$A$4:$AA$201,COLUMN(D35))</f>
        <v>12</v>
      </c>
      <c r="E38" s="4" t="str">
        <f>+VLOOKUP($A38,'REGISTRO GENERAL'!$A$4:$AA$201,COLUMN($E$1))</f>
        <v>Díaz Benza Cano, Ana María</v>
      </c>
      <c r="F38" s="4" t="str">
        <f>+VLOOKUP($A38,'REGISTRO GENERAL'!$A$4:$AA$201,COLUMN('REGISTRO GENERAL'!M32))</f>
        <v>Tía de los Díaz Benza Cámeron</v>
      </c>
      <c r="G38" s="3" t="s">
        <v>10</v>
      </c>
      <c r="H38" s="3"/>
      <c r="I38" s="22">
        <f t="shared" si="6"/>
        <v>2.058698531889639E-3</v>
      </c>
      <c r="J38" s="37">
        <f t="shared" si="1"/>
        <v>3977</v>
      </c>
      <c r="K38" s="37">
        <f>+'REGISTRO GENERAL'!Z50</f>
        <v>21735</v>
      </c>
      <c r="L38" s="37">
        <f>+'REGISTRO GENERAL'!AB60</f>
        <v>397700000</v>
      </c>
    </row>
    <row r="39" spans="1:12" x14ac:dyDescent="0.25">
      <c r="A39" s="123" t="s">
        <v>30</v>
      </c>
      <c r="B39" s="124"/>
      <c r="C39" s="124"/>
      <c r="D39" s="125"/>
      <c r="E39" s="23" t="s">
        <v>33</v>
      </c>
      <c r="F39" s="24"/>
      <c r="G39" s="26"/>
      <c r="H39" s="27"/>
      <c r="I39" s="28">
        <f>+SUM(I32:I38)</f>
        <v>0.14057282238406299</v>
      </c>
      <c r="J39" s="29">
        <f>+SUM(J32:J38)</f>
        <v>271559</v>
      </c>
      <c r="K39" s="29">
        <f>+SUM(K32:K38)</f>
        <v>1387675</v>
      </c>
      <c r="L39" s="29">
        <f>+SUM(L32:L38)</f>
        <v>27155900000</v>
      </c>
    </row>
    <row r="40" spans="1:12" x14ac:dyDescent="0.25">
      <c r="A40" s="3">
        <v>82</v>
      </c>
      <c r="B40" s="3">
        <f>+VLOOKUP($A40,'REGISTRO GENERAL'!$A$4:$AA$201,COLUMN($B$1))</f>
        <v>1045</v>
      </c>
      <c r="C40" s="3">
        <f>+VLOOKUP($A40,'REGISTRO GENERAL'!$A$4:$AA$201,COLUMN($C$1))</f>
        <v>2025</v>
      </c>
      <c r="D40" s="3">
        <f>+VLOOKUP($A40,'REGISTRO GENERAL'!$A$4:$AA$201,COLUMN(D37))</f>
        <v>12</v>
      </c>
      <c r="E40" s="4" t="str">
        <f>+VLOOKUP($A40,'REGISTRO GENERAL'!$A$4:$AA$201,COLUMN($E$1))</f>
        <v>Silvera Vda. de Díaz Benza, María Esther</v>
      </c>
      <c r="F40" s="4" t="e">
        <f>+VLOOKUP($A40,'REGISTRO GENERAL'!$A$4:$AA$201,COLUMN('REGISTRO GENERAL'!#REF!))</f>
        <v>#REF!</v>
      </c>
      <c r="G40" s="3" t="s">
        <v>10</v>
      </c>
      <c r="H40" s="3"/>
      <c r="I40" s="22">
        <f t="shared" ref="I40:I46" si="7">L40/$L$4</f>
        <v>5.9995765613781533E-4</v>
      </c>
      <c r="J40" s="37">
        <f t="shared" si="1"/>
        <v>1159</v>
      </c>
      <c r="K40" s="37">
        <f>+'REGISTRO GENERAL'!Z87</f>
        <v>5290</v>
      </c>
      <c r="L40" s="37">
        <f>+'REGISTRO GENERAL'!AB85</f>
        <v>115900000</v>
      </c>
    </row>
    <row r="41" spans="1:12" x14ac:dyDescent="0.25">
      <c r="A41" s="3">
        <v>103</v>
      </c>
      <c r="B41" s="3">
        <f>+VLOOKUP($A41,'REGISTRO GENERAL'!$A$4:$AA$201,COLUMN($B$1))</f>
        <v>1045</v>
      </c>
      <c r="C41" s="3">
        <f>+VLOOKUP($A41,'REGISTRO GENERAL'!$A$4:$AA$201,COLUMN($C$1))</f>
        <v>2025</v>
      </c>
      <c r="D41" s="3">
        <f>+VLOOKUP($A41,'REGISTRO GENERAL'!$A$4:$AA$201,COLUMN(D38))</f>
        <v>12</v>
      </c>
      <c r="E41" s="4" t="str">
        <f>+VLOOKUP($A41,'REGISTRO GENERAL'!$A$4:$AA$201,COLUMN($E$1))</f>
        <v>Díaz Benza Silvera, María José</v>
      </c>
      <c r="F41" s="4" t="str">
        <f>+VLOOKUP($A41,'REGISTRO GENERAL'!$A$4:$AA$201,COLUMN('REGISTRO GENERAL'!M34))</f>
        <v>Hija de Esther Silvera de Díaz Benza</v>
      </c>
      <c r="G41" s="3" t="s">
        <v>10</v>
      </c>
      <c r="H41" s="3"/>
      <c r="I41" s="22">
        <f t="shared" si="7"/>
        <v>8.7483040454953219E-5</v>
      </c>
      <c r="J41" s="37">
        <f t="shared" si="1"/>
        <v>169</v>
      </c>
      <c r="K41" s="37">
        <f>+'REGISTRO GENERAL'!Z107</f>
        <v>740</v>
      </c>
      <c r="L41" s="37">
        <f>+'REGISTRO GENERAL'!AB106</f>
        <v>16900000</v>
      </c>
    </row>
    <row r="42" spans="1:12" x14ac:dyDescent="0.25">
      <c r="A42" s="3">
        <v>104</v>
      </c>
      <c r="B42" s="3">
        <f>+VLOOKUP($A42,'REGISTRO GENERAL'!$A$4:$AA$201,COLUMN($B$1))</f>
        <v>1045</v>
      </c>
      <c r="C42" s="3">
        <f>+VLOOKUP($A42,'REGISTRO GENERAL'!$A$4:$AA$201,COLUMN($C$1))</f>
        <v>2025</v>
      </c>
      <c r="D42" s="3">
        <f>+VLOOKUP($A42,'REGISTRO GENERAL'!$A$4:$AA$201,COLUMN(D39))</f>
        <v>12</v>
      </c>
      <c r="E42" s="4" t="str">
        <f>+VLOOKUP($A42,'REGISTRO GENERAL'!$A$4:$AA$201,COLUMN($E$1))</f>
        <v>Díaz Benza Silvera, Lorena María Cristina</v>
      </c>
      <c r="F42" s="4" t="str">
        <f>+VLOOKUP($A42,'REGISTRO GENERAL'!$A$4:$AA$201,COLUMN('REGISTRO GENERAL'!M35))</f>
        <v>Hija de Esther Silvera de Díaz Benza</v>
      </c>
      <c r="G42" s="3" t="s">
        <v>10</v>
      </c>
      <c r="H42" s="3"/>
      <c r="I42" s="22">
        <f t="shared" si="7"/>
        <v>7.6612366788953123E-5</v>
      </c>
      <c r="J42" s="37">
        <f t="shared" si="1"/>
        <v>148</v>
      </c>
      <c r="K42" s="37">
        <f>+'REGISTRO GENERAL'!Z108</f>
        <v>725</v>
      </c>
      <c r="L42" s="37">
        <f>+'REGISTRO GENERAL'!AB107</f>
        <v>14800000</v>
      </c>
    </row>
    <row r="43" spans="1:12" x14ac:dyDescent="0.25">
      <c r="A43" s="3">
        <v>105</v>
      </c>
      <c r="B43" s="3">
        <f>+VLOOKUP($A43,'REGISTRO GENERAL'!$A$4:$AA$201,COLUMN($B$1))</f>
        <v>1045</v>
      </c>
      <c r="C43" s="3">
        <f>+VLOOKUP($A43,'REGISTRO GENERAL'!$A$4:$AA$201,COLUMN($C$1))</f>
        <v>2025</v>
      </c>
      <c r="D43" s="3">
        <f>+VLOOKUP($A43,'REGISTRO GENERAL'!$A$4:$AA$201,COLUMN(D40))</f>
        <v>12</v>
      </c>
      <c r="E43" s="4" t="str">
        <f>+VLOOKUP($A43,'REGISTRO GENERAL'!$A$4:$AA$201,COLUMN($E$1))</f>
        <v>Díaz Benza Silvera, David Ismael</v>
      </c>
      <c r="F43" s="4" t="str">
        <f>+VLOOKUP($A43,'REGISTRO GENERAL'!$A$4:$AA$201,COLUMN('REGISTRO GENERAL'!M36))</f>
        <v>Hija de Esther Silvera de Díaz Benza</v>
      </c>
      <c r="G43" s="3" t="s">
        <v>10</v>
      </c>
      <c r="H43" s="3"/>
      <c r="I43" s="22">
        <f t="shared" si="7"/>
        <v>7.5059413408095965E-5</v>
      </c>
      <c r="J43" s="37">
        <f t="shared" si="1"/>
        <v>145</v>
      </c>
      <c r="K43" s="37">
        <f>+'REGISTRO GENERAL'!Z109</f>
        <v>690</v>
      </c>
      <c r="L43" s="37">
        <f>+'REGISTRO GENERAL'!AB108</f>
        <v>14500000</v>
      </c>
    </row>
    <row r="44" spans="1:12" x14ac:dyDescent="0.25">
      <c r="A44" s="3">
        <v>106</v>
      </c>
      <c r="B44" s="3">
        <f>+VLOOKUP($A44,'REGISTRO GENERAL'!$A$4:$AA$201,COLUMN($B$1))</f>
        <v>1045</v>
      </c>
      <c r="C44" s="3">
        <f>+VLOOKUP($A44,'REGISTRO GENERAL'!$A$4:$AA$201,COLUMN($C$1))</f>
        <v>2025</v>
      </c>
      <c r="D44" s="3">
        <f>+VLOOKUP($A44,'REGISTRO GENERAL'!$A$4:$AA$201,COLUMN(D41))</f>
        <v>12</v>
      </c>
      <c r="E44" s="4" t="str">
        <f>+VLOOKUP($A44,'REGISTRO GENERAL'!$A$4:$AA$201,COLUMN($E$1))</f>
        <v>Díaz Benza Silvera, María Soledad</v>
      </c>
      <c r="F44" s="4" t="str">
        <f>+VLOOKUP($A44,'REGISTRO GENERAL'!$A$4:$AA$201,COLUMN('REGISTRO GENERAL'!M37))</f>
        <v>Hija de Esther Silvera de Díaz Benza</v>
      </c>
      <c r="G44" s="3" t="s">
        <v>10</v>
      </c>
      <c r="H44" s="3"/>
      <c r="I44" s="22">
        <f t="shared" si="7"/>
        <v>7.1435855519429262E-5</v>
      </c>
      <c r="J44" s="37">
        <f t="shared" si="1"/>
        <v>138</v>
      </c>
      <c r="K44" s="37">
        <f>+'REGISTRO GENERAL'!Z110</f>
        <v>655</v>
      </c>
      <c r="L44" s="37">
        <f>+'REGISTRO GENERAL'!AB109</f>
        <v>13800000</v>
      </c>
    </row>
    <row r="45" spans="1:12" x14ac:dyDescent="0.25">
      <c r="A45" s="3">
        <v>107</v>
      </c>
      <c r="B45" s="3">
        <f>+VLOOKUP($A45,'REGISTRO GENERAL'!$A$4:$AA$201,COLUMN($B$1))</f>
        <v>1045</v>
      </c>
      <c r="C45" s="3">
        <f>+VLOOKUP($A45,'REGISTRO GENERAL'!$A$4:$AA$201,COLUMN($C$1))</f>
        <v>2025</v>
      </c>
      <c r="D45" s="3">
        <f>+VLOOKUP($A45,'REGISTRO GENERAL'!$A$4:$AA$201,COLUMN(D42))</f>
        <v>12</v>
      </c>
      <c r="E45" s="4" t="str">
        <f>+VLOOKUP($A45,'REGISTRO GENERAL'!$A$4:$AA$201,COLUMN($E$1))</f>
        <v>Díaz Benza Silvera, Gabriela María Inés</v>
      </c>
      <c r="F45" s="4" t="str">
        <f>+VLOOKUP($A45,'REGISTRO GENERAL'!$A$4:$AA$201,COLUMN('REGISTRO GENERAL'!M38))</f>
        <v>Hija de Esther Silvera de Díaz Benza</v>
      </c>
      <c r="G45" s="3" t="s">
        <v>10</v>
      </c>
      <c r="H45" s="3"/>
      <c r="I45" s="22">
        <f t="shared" si="7"/>
        <v>6.7812297630762559E-5</v>
      </c>
      <c r="J45" s="37">
        <f t="shared" si="1"/>
        <v>131</v>
      </c>
      <c r="K45" s="37">
        <f>+'REGISTRO GENERAL'!Z111</f>
        <v>595</v>
      </c>
      <c r="L45" s="37">
        <f>+'REGISTRO GENERAL'!AB110</f>
        <v>13100000</v>
      </c>
    </row>
    <row r="46" spans="1:12" x14ac:dyDescent="0.25">
      <c r="A46" s="3">
        <v>108</v>
      </c>
      <c r="B46" s="3">
        <f>+VLOOKUP($A46,'REGISTRO GENERAL'!$A$4:$AA$201,COLUMN($B$1))</f>
        <v>1045</v>
      </c>
      <c r="C46" s="3">
        <f>+VLOOKUP($A46,'REGISTRO GENERAL'!$A$4:$AA$201,COLUMN($C$1))</f>
        <v>2025</v>
      </c>
      <c r="D46" s="3">
        <f>+VLOOKUP($A46,'REGISTRO GENERAL'!$A$4:$AA$201,COLUMN(D43))</f>
        <v>12</v>
      </c>
      <c r="E46" s="4" t="str">
        <f>+VLOOKUP($A46,'REGISTRO GENERAL'!$A$4:$AA$201,COLUMN($E$1))</f>
        <v>Díaz Benza Silvera, Fátima M. Alejandra</v>
      </c>
      <c r="F46" s="4" t="str">
        <f>+VLOOKUP($A46,'REGISTRO GENERAL'!$A$4:$AA$201,COLUMN('REGISTRO GENERAL'!M39))</f>
        <v>Hija de Esther Silvera de Díaz Benza</v>
      </c>
      <c r="G46" s="3" t="s">
        <v>10</v>
      </c>
      <c r="H46" s="3"/>
      <c r="I46" s="22">
        <f t="shared" si="7"/>
        <v>6.1600484107333925E-5</v>
      </c>
      <c r="J46" s="37">
        <f t="shared" si="1"/>
        <v>119</v>
      </c>
      <c r="K46" s="37">
        <f>119*5</f>
        <v>595</v>
      </c>
      <c r="L46" s="37">
        <f>+'REGISTRO GENERAL'!AB111</f>
        <v>11900000</v>
      </c>
    </row>
    <row r="47" spans="1:12" x14ac:dyDescent="0.25">
      <c r="A47" s="123" t="s">
        <v>30</v>
      </c>
      <c r="B47" s="124"/>
      <c r="C47" s="124"/>
      <c r="D47" s="125"/>
      <c r="E47" s="23" t="s">
        <v>34</v>
      </c>
      <c r="F47" s="24"/>
      <c r="G47" s="26"/>
      <c r="H47" s="27"/>
      <c r="I47" s="28">
        <f>+SUM(I40:I46)</f>
        <v>1.0399611140473435E-3</v>
      </c>
      <c r="J47" s="29">
        <f>+SUM(J40:J46)</f>
        <v>2009</v>
      </c>
      <c r="K47" s="29">
        <f>+SUM(K40:K46)</f>
        <v>9290</v>
      </c>
      <c r="L47" s="29">
        <f>+SUM(L40:L46)</f>
        <v>200900000</v>
      </c>
    </row>
    <row r="48" spans="1:12" x14ac:dyDescent="0.25">
      <c r="A48" s="3">
        <v>30</v>
      </c>
      <c r="B48" s="3">
        <f>+VLOOKUP($A48,'REGISTRO GENERAL'!$A$4:$AA$201,COLUMN($B$1))</f>
        <v>1045</v>
      </c>
      <c r="C48" s="3">
        <f>+VLOOKUP($A48,'REGISTRO GENERAL'!$A$4:$AA$201,COLUMN($C$1))</f>
        <v>2025</v>
      </c>
      <c r="D48" s="3">
        <f>+VLOOKUP($A48,'REGISTRO GENERAL'!$A$4:$AA$201,COLUMN(D3))</f>
        <v>12</v>
      </c>
      <c r="E48" s="4" t="str">
        <f>+VLOOKUP($A48,'REGISTRO GENERAL'!$A$4:$AA$201,COLUMN($E$1))</f>
        <v xml:space="preserve">Vaesken Vda. de Facetti, Zeneida  </v>
      </c>
      <c r="F48" s="4" t="str">
        <f>+VLOOKUP($A48,'REGISTRO GENERAL'!$A$4:$AA$201,COLUMN('REGISTRO GENERAL'!M41))</f>
        <v>Cuñada de Marta P. de Facetti</v>
      </c>
      <c r="G48" s="3" t="s">
        <v>10</v>
      </c>
      <c r="H48" s="3"/>
      <c r="I48" s="22">
        <f>L48/$L$4</f>
        <v>4.4222935775542326E-3</v>
      </c>
      <c r="J48" s="37">
        <f t="shared" si="1"/>
        <v>8543</v>
      </c>
      <c r="K48" s="37">
        <f>+'REGISTRO GENERAL'!Z32</f>
        <v>42970</v>
      </c>
      <c r="L48" s="37">
        <f>+'REGISTRO GENERAL'!AB33</f>
        <v>854300000</v>
      </c>
    </row>
    <row r="49" spans="1:12" x14ac:dyDescent="0.25">
      <c r="A49" s="3">
        <v>74</v>
      </c>
      <c r="B49" s="3">
        <f>+VLOOKUP($A49,'REGISTRO GENERAL'!$A$4:$AA$201,COLUMN($B$1))</f>
        <v>1045</v>
      </c>
      <c r="C49" s="3">
        <f>+VLOOKUP($A49,'REGISTRO GENERAL'!$A$4:$AA$201,COLUMN($C$1))</f>
        <v>2025</v>
      </c>
      <c r="D49" s="3">
        <f>+VLOOKUP($A49,'REGISTRO GENERAL'!$A$4:$AA$201,COLUMN(D46))</f>
        <v>12</v>
      </c>
      <c r="E49" s="4" t="str">
        <f>+VLOOKUP($A49,'REGISTRO GENERAL'!$A$4:$AA$201,COLUMN($E$1))</f>
        <v>Fernández de Facetti, Marta Petrona</v>
      </c>
      <c r="F49" s="4" t="str">
        <f>+VLOOKUP($A49,'REGISTRO GENERAL'!$A$4:$AA$201,COLUMN('REGISTRO GENERAL'!M43))</f>
        <v>Cuñada de Zeneida Vaezquen Vda. De Facetti</v>
      </c>
      <c r="G49" s="3" t="s">
        <v>10</v>
      </c>
      <c r="H49" s="3"/>
      <c r="I49" s="22">
        <f>L49/$L$4</f>
        <v>8.9501879850067501E-4</v>
      </c>
      <c r="J49" s="37">
        <f t="shared" si="1"/>
        <v>1728.9999999999993</v>
      </c>
      <c r="K49" s="37">
        <f>+'REGISTRO GENERAL'!Z78</f>
        <v>8560</v>
      </c>
      <c r="L49" s="37">
        <f>+'REGISTRO GENERAL'!AB77</f>
        <v>172899999.99999994</v>
      </c>
    </row>
    <row r="50" spans="1:12" x14ac:dyDescent="0.25">
      <c r="A50" s="123" t="s">
        <v>30</v>
      </c>
      <c r="B50" s="124"/>
      <c r="C50" s="124"/>
      <c r="D50" s="125"/>
      <c r="E50" s="23" t="s">
        <v>35</v>
      </c>
      <c r="F50" s="24"/>
      <c r="G50" s="26"/>
      <c r="H50" s="27"/>
      <c r="I50" s="28">
        <f>+SUM(I48:I49)</f>
        <v>5.317312376054908E-3</v>
      </c>
      <c r="J50" s="29">
        <f>+SUM(J48:J49)</f>
        <v>10272</v>
      </c>
      <c r="K50" s="29">
        <f>+SUM(K48:K49)</f>
        <v>51530</v>
      </c>
      <c r="L50" s="29">
        <f>+SUM(L48:L49)</f>
        <v>1027200000</v>
      </c>
    </row>
    <row r="51" spans="1:12" x14ac:dyDescent="0.25">
      <c r="A51" s="3">
        <v>39</v>
      </c>
      <c r="B51" s="3">
        <f>+VLOOKUP($A51,'REGISTRO GENERAL'!$A$4:$AA$201,COLUMN($B$1))</f>
        <v>1045</v>
      </c>
      <c r="C51" s="3">
        <f>+VLOOKUP($A51,'REGISTRO GENERAL'!$A$4:$AA$201,COLUMN($C$1))</f>
        <v>2025</v>
      </c>
      <c r="D51" s="3">
        <f>+VLOOKUP($A51,'REGISTRO GENERAL'!$A$4:$AA$201,COLUMN(D139))</f>
        <v>12</v>
      </c>
      <c r="E51" s="4" t="str">
        <f>+VLOOKUP($A51,'REGISTRO GENERAL'!$A$4:$AA$201,COLUMN($E$1))</f>
        <v>Ruiz de Frutos, Wylma Inés</v>
      </c>
      <c r="F51" s="4" t="str">
        <f>+VLOOKUP($A51,'REGISTRO GENERAL'!$A$4:$AA$201,COLUMN('REGISTRO GENERAL'!M45))</f>
        <v>Madre de Pilar, Alexis y Wilma Frutos Ruiz</v>
      </c>
      <c r="G51" s="3" t="s">
        <v>10</v>
      </c>
      <c r="H51" s="3"/>
      <c r="I51" s="22">
        <f>L51/$L$4</f>
        <v>2.9723527709606002E-3</v>
      </c>
      <c r="J51" s="37">
        <f t="shared" si="1"/>
        <v>5742</v>
      </c>
      <c r="K51" s="37">
        <f>+'REGISTRO GENERAL'!Z42</f>
        <v>28710</v>
      </c>
      <c r="L51" s="37">
        <f>+'REGISTRO GENERAL'!AB42</f>
        <v>574200000</v>
      </c>
    </row>
    <row r="52" spans="1:12" x14ac:dyDescent="0.25">
      <c r="A52" s="3">
        <v>70</v>
      </c>
      <c r="B52" s="3">
        <f>+VLOOKUP($A52,'REGISTRO GENERAL'!$A$4:$AA$201,COLUMN($B$1))</f>
        <v>1045</v>
      </c>
      <c r="C52" s="3">
        <f>+VLOOKUP($A52,'REGISTRO GENERAL'!$A$4:$AA$201,COLUMN($C$1))</f>
        <v>2025</v>
      </c>
      <c r="D52" s="3">
        <f>+VLOOKUP($A52,'REGISTRO GENERAL'!$A$4:$AA$201,COLUMN(D49))</f>
        <v>12</v>
      </c>
      <c r="E52" s="4" t="str">
        <f>+VLOOKUP($A52,'REGISTRO GENERAL'!$A$4:$AA$201,COLUMN($E$1))</f>
        <v>Frutos de Elizeche, María del Pilar</v>
      </c>
      <c r="F52" s="4" t="str">
        <f>+VLOOKUP($A52,'REGISTRO GENERAL'!$A$4:$AA$201,COLUMN('REGISTRO GENERAL'!M46))</f>
        <v>Hija de Wylma Ruiz de Frutos</v>
      </c>
      <c r="G52" s="3" t="s">
        <v>10</v>
      </c>
      <c r="H52" s="3"/>
      <c r="I52" s="22">
        <f>L52/$L$4</f>
        <v>1.0151138599536289E-3</v>
      </c>
      <c r="J52" s="37">
        <f t="shared" si="1"/>
        <v>1961</v>
      </c>
      <c r="K52" s="37">
        <f>+'REGISTRO GENERAL'!Z74</f>
        <v>9805</v>
      </c>
      <c r="L52" s="37">
        <f>+'REGISTRO GENERAL'!AB73</f>
        <v>196100000</v>
      </c>
    </row>
    <row r="53" spans="1:12" x14ac:dyDescent="0.25">
      <c r="A53" s="3">
        <v>71</v>
      </c>
      <c r="B53" s="3">
        <f>+VLOOKUP($A53,'REGISTRO GENERAL'!$A$4:$AA$201,COLUMN($B$1))</f>
        <v>1045</v>
      </c>
      <c r="C53" s="3">
        <f>+VLOOKUP($A53,'REGISTRO GENERAL'!$A$4:$AA$201,COLUMN($C$1))</f>
        <v>2025</v>
      </c>
      <c r="D53" s="3">
        <f>+VLOOKUP($A53,'REGISTRO GENERAL'!$A$4:$AA$201,COLUMN(D50))</f>
        <v>12</v>
      </c>
      <c r="E53" s="4" t="str">
        <f>+VLOOKUP($A53,'REGISTRO GENERAL'!$A$4:$AA$201,COLUMN($E$1))</f>
        <v>Frutos Ruiz, Alexis Manuel</v>
      </c>
      <c r="F53" s="4" t="str">
        <f>+VLOOKUP($A53,'REGISTRO GENERAL'!$A$4:$AA$201,COLUMN('REGISTRO GENERAL'!M47))</f>
        <v>Hija de Wylma Ruiz de Frutos</v>
      </c>
      <c r="G53" s="3" t="s">
        <v>10</v>
      </c>
      <c r="H53" s="3"/>
      <c r="I53" s="22">
        <f>L53/$L$4</f>
        <v>1.0151138599536289E-3</v>
      </c>
      <c r="J53" s="37">
        <f t="shared" si="1"/>
        <v>1961</v>
      </c>
      <c r="K53" s="37">
        <f>+'REGISTRO GENERAL'!Z75</f>
        <v>9805</v>
      </c>
      <c r="L53" s="37">
        <f>+'REGISTRO GENERAL'!AB74</f>
        <v>196100000</v>
      </c>
    </row>
    <row r="54" spans="1:12" x14ac:dyDescent="0.25">
      <c r="A54" s="3">
        <v>72</v>
      </c>
      <c r="B54" s="3">
        <f>+VLOOKUP($A54,'REGISTRO GENERAL'!$A$4:$AA$201,COLUMN($B$1))</f>
        <v>1045</v>
      </c>
      <c r="C54" s="3">
        <f>+VLOOKUP($A54,'REGISTRO GENERAL'!$A$4:$AA$201,COLUMN($C$1))</f>
        <v>2025</v>
      </c>
      <c r="D54" s="3">
        <f>+VLOOKUP($A54,'REGISTRO GENERAL'!$A$4:$AA$201,COLUMN(D51))</f>
        <v>12</v>
      </c>
      <c r="E54" s="4" t="str">
        <f>+VLOOKUP($A54,'REGISTRO GENERAL'!$A$4:$AA$201,COLUMN($E$1))</f>
        <v>Frutos Ruiz, Wilma Patricia</v>
      </c>
      <c r="F54" s="4" t="str">
        <f>+VLOOKUP($A54,'REGISTRO GENERAL'!$A$4:$AA$201,COLUMN('REGISTRO GENERAL'!M48))</f>
        <v>Hija de Wylma Ruiz de Frutos</v>
      </c>
      <c r="G54" s="3" t="s">
        <v>10</v>
      </c>
      <c r="H54" s="3"/>
      <c r="I54" s="22">
        <f>L54/$L$4</f>
        <v>1.0151138599536289E-3</v>
      </c>
      <c r="J54" s="37">
        <f t="shared" si="1"/>
        <v>1961</v>
      </c>
      <c r="K54" s="37">
        <f>+'REGISTRO GENERAL'!Z76</f>
        <v>8890</v>
      </c>
      <c r="L54" s="37">
        <f>+'REGISTRO GENERAL'!AB75</f>
        <v>196100000</v>
      </c>
    </row>
    <row r="55" spans="1:12" x14ac:dyDescent="0.25">
      <c r="A55" s="123" t="s">
        <v>30</v>
      </c>
      <c r="B55" s="124"/>
      <c r="C55" s="124"/>
      <c r="D55" s="125"/>
      <c r="E55" s="23" t="s">
        <v>36</v>
      </c>
      <c r="F55" s="24"/>
      <c r="G55" s="26"/>
      <c r="H55" s="27"/>
      <c r="I55" s="28">
        <f>+SUM(I51:I54)</f>
        <v>6.017694350821487E-3</v>
      </c>
      <c r="J55" s="29">
        <f>+SUM(J51:J54)</f>
        <v>11625</v>
      </c>
      <c r="K55" s="29">
        <f>+SUM(K51:K54)</f>
        <v>57210</v>
      </c>
      <c r="L55" s="29">
        <f>+SUM(L51:L54)</f>
        <v>1162500000</v>
      </c>
    </row>
    <row r="56" spans="1:12" x14ac:dyDescent="0.25">
      <c r="A56" s="3">
        <v>59</v>
      </c>
      <c r="B56" s="3">
        <f>+VLOOKUP($A56,'REGISTRO GENERAL'!$A$4:$AA$201,COLUMN($B$1))</f>
        <v>1045</v>
      </c>
      <c r="C56" s="3">
        <f>+VLOOKUP($A56,'REGISTRO GENERAL'!$A$4:$AA$201,COLUMN($C$1))</f>
        <v>2025</v>
      </c>
      <c r="D56" s="3">
        <f>+VLOOKUP($A56,'REGISTRO GENERAL'!$A$4:$AA$201,COLUMN(D50))</f>
        <v>12</v>
      </c>
      <c r="E56" s="4" t="str">
        <f>+VLOOKUP($A56,'REGISTRO GENERAL'!$A$4:$AA$201,COLUMN($E$1))</f>
        <v>Gómez Casco, Hugo Darío</v>
      </c>
      <c r="F56" s="4" t="str">
        <f>+VLOOKUP($A56,'REGISTRO GENERAL'!$A$4:$AA$201,COLUMN('REGISTRO GENERAL'!M47))</f>
        <v xml:space="preserve">Hermana de Osvaldo Gomez </v>
      </c>
      <c r="G56" s="3" t="s">
        <v>10</v>
      </c>
      <c r="H56" s="3"/>
      <c r="I56" s="22">
        <f>L56/$L$4</f>
        <v>1.7869316902396361E-3</v>
      </c>
      <c r="J56" s="37">
        <f t="shared" si="1"/>
        <v>3452</v>
      </c>
      <c r="K56" s="37">
        <f>+'REGISTRO GENERAL'!Z64</f>
        <v>16380</v>
      </c>
      <c r="L56" s="37">
        <f>+'REGISTRO GENERAL'!AB62</f>
        <v>345200000</v>
      </c>
    </row>
    <row r="57" spans="1:12" x14ac:dyDescent="0.25">
      <c r="A57" s="3">
        <v>62</v>
      </c>
      <c r="B57" s="3">
        <f>+VLOOKUP($A57,'REGISTRO GENERAL'!$A$4:$AA$201,COLUMN($B$1))</f>
        <v>1045</v>
      </c>
      <c r="C57" s="3">
        <f>+VLOOKUP($A57,'REGISTRO GENERAL'!$A$4:$AA$201,COLUMN($C$1))</f>
        <v>2025</v>
      </c>
      <c r="D57" s="3">
        <f>+VLOOKUP($A57,'REGISTRO GENERAL'!$A$4:$AA$201,COLUMN(D56))</f>
        <v>12</v>
      </c>
      <c r="E57" s="4" t="str">
        <f>+VLOOKUP($A57,'REGISTRO GENERAL'!$A$4:$AA$201,COLUMN($E$1))</f>
        <v>Gómez Casco, Sandra Natalia Carolina</v>
      </c>
      <c r="F57" s="4" t="str">
        <f>+VLOOKUP($A57,'REGISTRO GENERAL'!$A$4:$AA$201,COLUMN('REGISTRO GENERAL'!M50))</f>
        <v xml:space="preserve">Hermana de Osvaldo Gomez </v>
      </c>
      <c r="G57" s="3" t="s">
        <v>10</v>
      </c>
      <c r="H57" s="3"/>
      <c r="I57" s="22">
        <f>L57/$L$4</f>
        <v>1.6844367671030639E-3</v>
      </c>
      <c r="J57" s="37">
        <f t="shared" si="1"/>
        <v>3254</v>
      </c>
      <c r="K57" s="37">
        <f>+'REGISTRO GENERAL'!Z65</f>
        <v>16270</v>
      </c>
      <c r="L57" s="37">
        <f>+'REGISTRO GENERAL'!AB65</f>
        <v>325400000</v>
      </c>
    </row>
    <row r="58" spans="1:12" x14ac:dyDescent="0.25">
      <c r="A58" s="123"/>
      <c r="B58" s="124"/>
      <c r="C58" s="124"/>
      <c r="D58" s="125"/>
      <c r="E58" s="23" t="s">
        <v>199</v>
      </c>
      <c r="F58" s="24"/>
      <c r="G58" s="26"/>
      <c r="H58" s="27"/>
      <c r="I58" s="28">
        <f>+SUM(I56:I57)</f>
        <v>3.4713684573427E-3</v>
      </c>
      <c r="J58" s="29">
        <f>+SUM(J56:J57)</f>
        <v>6706</v>
      </c>
      <c r="K58" s="29">
        <f>+SUM(K56:K57)</f>
        <v>32650</v>
      </c>
      <c r="L58" s="29">
        <f>+SUM(L56:L57)</f>
        <v>670600000</v>
      </c>
    </row>
    <row r="59" spans="1:12" x14ac:dyDescent="0.25">
      <c r="A59" s="3">
        <v>4</v>
      </c>
      <c r="B59" s="3">
        <f>+VLOOKUP($A59,'REGISTRO GENERAL'!$A$4:$AA$201,COLUMN($B$1))</f>
        <v>1045</v>
      </c>
      <c r="C59" s="3">
        <f>+VLOOKUP($A59,'REGISTRO GENERAL'!$A$4:$AA$201,COLUMN($C$1))</f>
        <v>2025</v>
      </c>
      <c r="D59" s="3">
        <f>+VLOOKUP($A59,'REGISTRO GENERAL'!$A$4:$AA$201,COLUMN(D53))</f>
        <v>12</v>
      </c>
      <c r="E59" s="4" t="str">
        <f>+VLOOKUP($A59,'REGISTRO GENERAL'!$A$4:$AA$201,COLUMN($E$1))</f>
        <v>Gómez González, Osvaldo José</v>
      </c>
      <c r="F59" s="4" t="str">
        <f>+VLOOKUP($A59,'REGISTRO GENERAL'!$A$4:$AA$201,COLUMN('REGISTRO GENERAL'!M50))</f>
        <v>Hermano de Sandra, Hugo, Felix y Fernando</v>
      </c>
      <c r="G59" s="3" t="s">
        <v>10</v>
      </c>
      <c r="H59" s="3"/>
      <c r="I59" s="22">
        <f>L59/$L$4</f>
        <v>4.395168658501928E-2</v>
      </c>
      <c r="J59" s="37">
        <f t="shared" si="1"/>
        <v>84906</v>
      </c>
      <c r="K59" s="37">
        <f>+'REGISTRO GENERAL'!Z8</f>
        <v>417550</v>
      </c>
      <c r="L59" s="37">
        <f>+'REGISTRO GENERAL'!AB7</f>
        <v>8490600000</v>
      </c>
    </row>
    <row r="60" spans="1:12" x14ac:dyDescent="0.25">
      <c r="A60" s="3">
        <v>7</v>
      </c>
      <c r="B60" s="3">
        <f>+VLOOKUP($A60,'REGISTRO GENERAL'!$A$4:$AA$201,COLUMN($B$1))</f>
        <v>1045</v>
      </c>
      <c r="C60" s="3">
        <f>+VLOOKUP($A60,'REGISTRO GENERAL'!$A$4:$AA$201,COLUMN($C$1))</f>
        <v>2025</v>
      </c>
      <c r="D60" s="3">
        <f>+VLOOKUP($A60,'REGISTRO GENERAL'!$A$4:$AA$201,COLUMN(D54))</f>
        <v>12</v>
      </c>
      <c r="E60" s="4" t="str">
        <f>+VLOOKUP($A60,'REGISTRO GENERAL'!$A$4:$AA$201,COLUMN($E$1))</f>
        <v>Gómez González, Félix Guillermo</v>
      </c>
      <c r="F60" s="4" t="str">
        <f>+VLOOKUP($A60,'REGISTRO GENERAL'!$A$4:$AA$201,COLUMN('REGISTRO GENERAL'!M51))</f>
        <v>Hermano de Sandra, Hugo, Osvaldo y Fernando</v>
      </c>
      <c r="G60" s="3" t="s">
        <v>10</v>
      </c>
      <c r="H60" s="3"/>
      <c r="I60" s="22">
        <f>L60/$L$4</f>
        <v>2.5987639526390632E-2</v>
      </c>
      <c r="J60" s="37">
        <f t="shared" si="1"/>
        <v>50203</v>
      </c>
      <c r="K60" s="37">
        <f>+'REGISTRO GENERAL'!Z17</f>
        <v>211525</v>
      </c>
      <c r="L60" s="37">
        <f>+'REGISTRO GENERAL'!AB10</f>
        <v>5020300000</v>
      </c>
    </row>
    <row r="61" spans="1:12" x14ac:dyDescent="0.25">
      <c r="A61" s="3">
        <v>21</v>
      </c>
      <c r="B61" s="3">
        <f>+VLOOKUP($A61,'REGISTRO GENERAL'!$A$4:$AA$201,COLUMN($B$1))</f>
        <v>1045</v>
      </c>
      <c r="C61" s="3">
        <f>+VLOOKUP($A61,'REGISTRO GENERAL'!$A$4:$AA$201,COLUMN($C$1))</f>
        <v>2025</v>
      </c>
      <c r="D61" s="3">
        <f>+VLOOKUP($A61,'REGISTRO GENERAL'!$A$4:$AA$201,COLUMN(D58))</f>
        <v>12</v>
      </c>
      <c r="E61" s="4" t="str">
        <f>+VLOOKUP($A61,'REGISTRO GENERAL'!$A$4:$AA$201,COLUMN($E$1))</f>
        <v xml:space="preserve">Gómez González, Fernando Rafael </v>
      </c>
      <c r="F61" s="4" t="str">
        <f>+VLOOKUP($A61,'REGISTRO GENERAL'!$A$4:$AA$201,COLUMN('REGISTRO GENERAL'!M53))</f>
        <v>Hermano de Sandra, Hugo, Felix y Osvaldo</v>
      </c>
      <c r="G61" s="3" t="s">
        <v>10</v>
      </c>
      <c r="H61" s="3"/>
      <c r="I61" s="22">
        <f>L61/$L$4</f>
        <v>8.6944683282922739E-3</v>
      </c>
      <c r="J61" s="37">
        <f t="shared" si="1"/>
        <v>16796</v>
      </c>
      <c r="K61" s="37">
        <f>+'REGISTRO GENERAL'!Z38</f>
        <v>34465</v>
      </c>
      <c r="L61" s="37">
        <f>+'REGISTRO GENERAL'!AB24</f>
        <v>1679600000</v>
      </c>
    </row>
    <row r="62" spans="1:12" x14ac:dyDescent="0.25">
      <c r="A62" s="123" t="s">
        <v>30</v>
      </c>
      <c r="B62" s="124"/>
      <c r="C62" s="124"/>
      <c r="D62" s="125"/>
      <c r="E62" s="23" t="s">
        <v>37</v>
      </c>
      <c r="F62" s="24"/>
      <c r="G62" s="26"/>
      <c r="H62" s="27"/>
      <c r="I62" s="64">
        <f>+SUM(I59:I61)</f>
        <v>7.8633794439702184E-2</v>
      </c>
      <c r="J62" s="29">
        <f>+SUM(J59:J61)</f>
        <v>151905</v>
      </c>
      <c r="K62" s="29">
        <f>+SUM(K59:K61)</f>
        <v>663540</v>
      </c>
      <c r="L62" s="29">
        <f>+SUM(L59:L61)</f>
        <v>15190500000</v>
      </c>
    </row>
    <row r="63" spans="1:12" x14ac:dyDescent="0.25">
      <c r="A63" s="3">
        <v>40</v>
      </c>
      <c r="B63" s="3">
        <f>+VLOOKUP($A63,'REGISTRO GENERAL'!$A$4:$AA$201,COLUMN($B$1))</f>
        <v>1045</v>
      </c>
      <c r="C63" s="3">
        <f>+VLOOKUP($A63,'REGISTRO GENERAL'!$A$4:$AA$201,COLUMN($C$1))</f>
        <v>2025</v>
      </c>
      <c r="D63" s="3">
        <v>12</v>
      </c>
      <c r="E63" s="4" t="str">
        <f>+VLOOKUP($A63,'REGISTRO GENERAL'!$A$4:$AA$201,COLUMN($E$1))</f>
        <v>Klein de Gulino, Elena Beatriz</v>
      </c>
      <c r="F63" s="4" t="str">
        <f>+VLOOKUP($A63,'REGISTRO GENERAL'!$A$4:$AA$201,COLUMN('REGISTRO GENERAL'!M55))</f>
        <v>Madre de Rossana, Luis Fernando y Osvaldo Javier Gulino K.</v>
      </c>
      <c r="G63" s="3" t="s">
        <v>10</v>
      </c>
      <c r="H63" s="3"/>
      <c r="I63" s="22">
        <f t="shared" ref="I63:I70" si="8">L63/$L$4</f>
        <v>2.9500937725016473E-3</v>
      </c>
      <c r="J63" s="37">
        <f t="shared" si="1"/>
        <v>5699</v>
      </c>
      <c r="K63" s="37">
        <f>+'REGISTRO GENERAL'!Z44</f>
        <v>27555</v>
      </c>
      <c r="L63" s="37">
        <f>+'REGISTRO GENERAL'!AB43</f>
        <v>569900000</v>
      </c>
    </row>
    <row r="64" spans="1:12" x14ac:dyDescent="0.25">
      <c r="A64" s="3">
        <v>124</v>
      </c>
      <c r="B64" s="3">
        <f>+VLOOKUP($A64,'REGISTRO GENERAL'!$A$4:$AA$201,COLUMN($B$1))</f>
        <v>1045</v>
      </c>
      <c r="C64" s="3">
        <f>+VLOOKUP($A64,'REGISTRO GENERAL'!$A$4:$AA$201,COLUMN($C$1))</f>
        <v>2025</v>
      </c>
      <c r="D64" s="3">
        <v>12</v>
      </c>
      <c r="E64" s="4" t="str">
        <f>+VLOOKUP($A64,'REGISTRO GENERAL'!$A$4:$AA$201,COLUMN($E$1))</f>
        <v>Klein de Gulino, Elena Beatriz</v>
      </c>
      <c r="F64" s="4">
        <f>+VLOOKUP($A64,'REGISTRO GENERAL'!$A$4:$AA$201,COLUMN('REGISTRO GENERAL'!M56))</f>
        <v>0</v>
      </c>
      <c r="G64" s="3"/>
      <c r="H64" s="3" t="s">
        <v>239</v>
      </c>
      <c r="I64" s="22">
        <f t="shared" si="8"/>
        <v>1.6978956964038258E-4</v>
      </c>
      <c r="J64" s="37">
        <f t="shared" si="1"/>
        <v>328</v>
      </c>
      <c r="K64" s="37" t="s">
        <v>240</v>
      </c>
      <c r="L64" s="37">
        <v>32800000</v>
      </c>
    </row>
    <row r="65" spans="1:12" x14ac:dyDescent="0.25">
      <c r="A65" s="3">
        <v>50</v>
      </c>
      <c r="B65" s="3">
        <f>+VLOOKUP($A65,'REGISTRO GENERAL'!$A$4:$AA$201,COLUMN($B$1))</f>
        <v>1045</v>
      </c>
      <c r="C65" s="3">
        <f>+VLOOKUP($A65,'REGISTRO GENERAL'!$A$4:$AA$201,COLUMN($C$1))</f>
        <v>2025</v>
      </c>
      <c r="D65" s="3">
        <v>12</v>
      </c>
      <c r="E65" s="4" t="str">
        <f>+VLOOKUP($A65,'REGISTRO GENERAL'!$A$4:$AA$201,COLUMN($E$1))</f>
        <v>Gulino Klein, Rossana Beatriz</v>
      </c>
      <c r="F65" s="4" t="str">
        <f>+VLOOKUP($A65,'REGISTRO GENERAL'!$A$4:$AA$201,COLUMN('REGISTRO GENERAL'!M56))</f>
        <v>Hija Salvador Gulino Alfieri y Elena Klein de Gulino</v>
      </c>
      <c r="G65" s="3" t="s">
        <v>10</v>
      </c>
      <c r="H65" s="3"/>
      <c r="I65" s="22">
        <f t="shared" si="8"/>
        <v>2.1906995692624973E-3</v>
      </c>
      <c r="J65" s="37">
        <f t="shared" si="1"/>
        <v>4232</v>
      </c>
      <c r="K65" s="37">
        <f>+'REGISTRO GENERAL'!Z48</f>
        <v>22450</v>
      </c>
      <c r="L65" s="37">
        <f>+'REGISTRO GENERAL'!AB53</f>
        <v>423200000</v>
      </c>
    </row>
    <row r="66" spans="1:12" x14ac:dyDescent="0.25">
      <c r="A66" s="3">
        <v>125</v>
      </c>
      <c r="B66" s="3">
        <f>+VLOOKUP($A66,'REGISTRO GENERAL'!$A$4:$AA$201,COLUMN($B$1))</f>
        <v>1045</v>
      </c>
      <c r="C66" s="3">
        <f>+VLOOKUP($A66,'REGISTRO GENERAL'!$A$4:$AA$201,COLUMN($C$1))</f>
        <v>2025</v>
      </c>
      <c r="D66" s="3">
        <v>12</v>
      </c>
      <c r="E66" s="4" t="str">
        <f>+VLOOKUP($A66,'REGISTRO GENERAL'!$A$4:$AA$201,COLUMN($E$1))</f>
        <v>Gulino Klein, Rossana Beatriz</v>
      </c>
      <c r="F66" s="4">
        <f>+VLOOKUP($A66,'REGISTRO GENERAL'!$A$4:$AA$201,COLUMN('REGISTRO GENERAL'!M58))</f>
        <v>0</v>
      </c>
      <c r="G66" s="3"/>
      <c r="H66" s="3" t="s">
        <v>239</v>
      </c>
      <c r="I66" s="22">
        <f t="shared" si="8"/>
        <v>1.3355399075371557E-4</v>
      </c>
      <c r="J66" s="37">
        <f t="shared" si="1"/>
        <v>258</v>
      </c>
      <c r="K66" s="37" t="s">
        <v>240</v>
      </c>
      <c r="L66" s="37">
        <v>25800000</v>
      </c>
    </row>
    <row r="67" spans="1:12" x14ac:dyDescent="0.25">
      <c r="A67" s="3">
        <v>45</v>
      </c>
      <c r="B67" s="3">
        <f>+VLOOKUP($A67,'REGISTRO GENERAL'!$A$4:$AA$201,COLUMN($B$1))</f>
        <v>1045</v>
      </c>
      <c r="C67" s="3">
        <f>+VLOOKUP($A67,'REGISTRO GENERAL'!$A$4:$AA$201,COLUMN($C$1))</f>
        <v>2025</v>
      </c>
      <c r="D67" s="3">
        <v>12</v>
      </c>
      <c r="E67" s="4" t="str">
        <f>+VLOOKUP($A67,'REGISTRO GENERAL'!$A$4:$AA$201,COLUMN($E$1))</f>
        <v>Gulino Klein, Luís Fernando</v>
      </c>
      <c r="F67" s="4" t="str">
        <f>+VLOOKUP($A67,'REGISTRO GENERAL'!$A$4:$AA$201,COLUMN('REGISTRO GENERAL'!M57))</f>
        <v>Hijo Salvador Gulino Alfieri y Elena Klein de Gulino</v>
      </c>
      <c r="G67" s="3" t="s">
        <v>10</v>
      </c>
      <c r="H67" s="3"/>
      <c r="I67" s="22">
        <f t="shared" si="8"/>
        <v>2.3242535600162127E-3</v>
      </c>
      <c r="J67" s="37">
        <f t="shared" si="1"/>
        <v>4490</v>
      </c>
      <c r="K67" s="37">
        <f>+'REGISTRO GENERAL'!Z49</f>
        <v>22010</v>
      </c>
      <c r="L67" s="37">
        <f>+'REGISTRO GENERAL'!AB48</f>
        <v>449000000</v>
      </c>
    </row>
    <row r="68" spans="1:12" x14ac:dyDescent="0.25">
      <c r="A68" s="3">
        <v>47</v>
      </c>
      <c r="B68" s="3">
        <f>+VLOOKUP($A68,'REGISTRO GENERAL'!$A$4:$AA$201,COLUMN($B$1))</f>
        <v>1045</v>
      </c>
      <c r="C68" s="3">
        <f>+VLOOKUP($A68,'REGISTRO GENERAL'!$A$4:$AA$201,COLUMN($C$1))</f>
        <v>2025</v>
      </c>
      <c r="D68" s="3">
        <f>+VLOOKUP($A68,'REGISTRO GENERAL'!$A$4:$AA$201,COLUMN(D63))</f>
        <v>12</v>
      </c>
      <c r="E68" s="4" t="str">
        <f>+VLOOKUP($A68,'REGISTRO GENERAL'!$A$4:$AA$201,COLUMN($E$1))</f>
        <v>Gulino Alfieri, Salvador Óscar</v>
      </c>
      <c r="F68" s="4" t="str">
        <f>+VLOOKUP($A68,'REGISTRO GENERAL'!$A$4:$AA$201,COLUMN('REGISTRO GENERAL'!M58))</f>
        <v>Padre de Rossana, Luis Fernando y Osvaldo Javier Gulino K.</v>
      </c>
      <c r="G68" s="3" t="s">
        <v>10</v>
      </c>
      <c r="H68" s="3"/>
      <c r="I68" s="22">
        <f t="shared" si="8"/>
        <v>2.2502294488620216E-3</v>
      </c>
      <c r="J68" s="37">
        <f t="shared" si="1"/>
        <v>4347</v>
      </c>
      <c r="K68" s="37">
        <f>+'REGISTRO GENERAL'!Z51</f>
        <v>21600</v>
      </c>
      <c r="L68" s="37">
        <f>+'REGISTRO GENERAL'!AB50</f>
        <v>434700000</v>
      </c>
    </row>
    <row r="69" spans="1:12" x14ac:dyDescent="0.25">
      <c r="A69" s="3">
        <v>126</v>
      </c>
      <c r="B69" s="3">
        <f>+VLOOKUP($A69,'REGISTRO GENERAL'!$A$4:$AA$201,COLUMN($B$1))</f>
        <v>1045</v>
      </c>
      <c r="C69" s="3">
        <f>+VLOOKUP($A69,'REGISTRO GENERAL'!$A$4:$AA$201,COLUMN($C$1))</f>
        <v>2025</v>
      </c>
      <c r="D69" s="3">
        <v>12</v>
      </c>
      <c r="E69" s="4" t="str">
        <f>+VLOOKUP($A69,'REGISTRO GENERAL'!$A$4:$AA$201,COLUMN($E$1))</f>
        <v>Gulino Alfieri, Salvador Óscar</v>
      </c>
      <c r="F69" s="4">
        <f>+VLOOKUP($A69,'REGISTRO GENERAL'!$A$4:$AA$201,COLUMN('REGISTRO GENERAL'!M61))</f>
        <v>0</v>
      </c>
      <c r="G69" s="3"/>
      <c r="H69" s="3" t="s">
        <v>239</v>
      </c>
      <c r="I69" s="22">
        <f t="shared" si="8"/>
        <v>1.288951306111441E-4</v>
      </c>
      <c r="J69" s="37">
        <f t="shared" si="1"/>
        <v>249</v>
      </c>
      <c r="K69" s="37" t="s">
        <v>240</v>
      </c>
      <c r="L69" s="37">
        <v>24900000</v>
      </c>
    </row>
    <row r="70" spans="1:12" x14ac:dyDescent="0.25">
      <c r="A70" s="3">
        <v>100</v>
      </c>
      <c r="B70" s="3">
        <f>+VLOOKUP($A70,'REGISTRO GENERAL'!$A$4:$AA$201,COLUMN($B$1))</f>
        <v>1045</v>
      </c>
      <c r="C70" s="3">
        <f>+VLOOKUP($A70,'REGISTRO GENERAL'!$A$4:$AA$201,COLUMN($C$1))</f>
        <v>2025</v>
      </c>
      <c r="D70" s="3">
        <f>+VLOOKUP($A70,'REGISTRO GENERAL'!$A$4:$AA$201,COLUMN(D65))</f>
        <v>12</v>
      </c>
      <c r="E70" s="4" t="str">
        <f>+VLOOKUP($A70,'REGISTRO GENERAL'!$A$4:$AA$201,COLUMN($E$1))</f>
        <v>Gulino Klein, Osvaldo Javier</v>
      </c>
      <c r="F70" s="4" t="str">
        <f>+VLOOKUP($A70,'REGISTRO GENERAL'!$A$4:$AA$201,COLUMN('REGISTRO GENERAL'!M59))</f>
        <v>Hijo de Salvador Gulino Alfieri y Elena Klein de Gulino</v>
      </c>
      <c r="G70" s="3" t="s">
        <v>10</v>
      </c>
      <c r="H70" s="3"/>
      <c r="I70" s="22">
        <f t="shared" si="8"/>
        <v>1.951544748610495E-4</v>
      </c>
      <c r="J70" s="37">
        <f t="shared" ref="J70:J117" si="9">L70/100000</f>
        <v>377</v>
      </c>
      <c r="K70" s="37">
        <f>+'REGISTRO GENERAL'!Z104</f>
        <v>1425</v>
      </c>
      <c r="L70" s="37">
        <f>+'REGISTRO GENERAL'!AB103</f>
        <v>37700000</v>
      </c>
    </row>
    <row r="71" spans="1:12" x14ac:dyDescent="0.25">
      <c r="A71" s="123" t="s">
        <v>30</v>
      </c>
      <c r="B71" s="124"/>
      <c r="C71" s="124"/>
      <c r="D71" s="125"/>
      <c r="E71" s="23" t="s">
        <v>38</v>
      </c>
      <c r="F71" s="24"/>
      <c r="G71" s="26"/>
      <c r="H71" s="27"/>
      <c r="I71" s="28">
        <f>+SUM(I63:I70)</f>
        <v>1.0342669516508671E-2</v>
      </c>
      <c r="J71" s="29">
        <f>+SUM(J63:J70)</f>
        <v>19980</v>
      </c>
      <c r="K71" s="29">
        <f>+SUM(K63:K70)</f>
        <v>95040</v>
      </c>
      <c r="L71" s="29">
        <f>+SUM(L63:L70)</f>
        <v>1998000000</v>
      </c>
    </row>
    <row r="72" spans="1:12" x14ac:dyDescent="0.25">
      <c r="A72" s="3">
        <v>56</v>
      </c>
      <c r="B72" s="3">
        <f>+VLOOKUP($A72,'REGISTRO GENERAL'!$A$4:$AA$201,COLUMN($B$1))</f>
        <v>1045</v>
      </c>
      <c r="C72" s="3">
        <f>+VLOOKUP($A72,'REGISTRO GENERAL'!$A$4:$AA$201,COLUMN($C$1))</f>
        <v>2025</v>
      </c>
      <c r="D72" s="3">
        <f>+VLOOKUP($A72,'REGISTRO GENERAL'!$A$4:$AA$201,COLUMN(D68))</f>
        <v>12</v>
      </c>
      <c r="E72" s="4" t="str">
        <f>+VLOOKUP($A72,'REGISTRO GENERAL'!$A$4:$AA$201,COLUMN($E$1))</f>
        <v>Vargas Vda. de Martínez, María Lilia Noemí</v>
      </c>
      <c r="F72" s="4">
        <f>+VLOOKUP($A72,'REGISTRO GENERAL'!$A$4:$AA$201,COLUMN('REGISTRO GENERAL'!M61))</f>
        <v>0</v>
      </c>
      <c r="G72" s="3" t="s">
        <v>10</v>
      </c>
      <c r="H72" s="3"/>
      <c r="I72" s="22">
        <f t="shared" ref="I72:I89" si="10">L72/$L$4</f>
        <v>2.128581434028211E-3</v>
      </c>
      <c r="J72" s="37">
        <f t="shared" si="9"/>
        <v>4112</v>
      </c>
      <c r="K72" s="37">
        <f>3404*5</f>
        <v>17020</v>
      </c>
      <c r="L72" s="37">
        <f>+'REGISTRO GENERAL'!AB59</f>
        <v>411200000</v>
      </c>
    </row>
    <row r="73" spans="1:12" x14ac:dyDescent="0.25">
      <c r="A73" s="3">
        <v>122</v>
      </c>
      <c r="B73" s="3">
        <f>+VLOOKUP($A73,'REGISTRO GENERAL'!$A$4:$AA$201,COLUMN($B$1))</f>
        <v>1045</v>
      </c>
      <c r="C73" s="3">
        <f>+VLOOKUP($A73,'REGISTRO GENERAL'!$A$4:$AA$201,COLUMN($C$1))</f>
        <v>2025</v>
      </c>
      <c r="D73" s="3">
        <f>+VLOOKUP($A73,'REGISTRO GENERAL'!$A$4:$AA$201,COLUMN(D70))</f>
        <v>6</v>
      </c>
      <c r="E73" s="4" t="str">
        <f>+VLOOKUP($A73,'REGISTRO GENERAL'!$A$4:$AA$201,COLUMN($E$1))</f>
        <v>Vargas Vda. de Martínez, María Lilia Noemí</v>
      </c>
      <c r="F73" s="4">
        <f>+VLOOKUP($A73,'REGISTRO GENERAL'!$A$4:$AA$201,COLUMN('REGISTRO GENERAL'!M62))</f>
        <v>0</v>
      </c>
      <c r="G73" s="3"/>
      <c r="H73" s="3" t="s">
        <v>239</v>
      </c>
      <c r="I73" s="22">
        <f t="shared" si="10"/>
        <v>1.2216566596076308E-4</v>
      </c>
      <c r="J73" s="37">
        <f t="shared" si="9"/>
        <v>236</v>
      </c>
      <c r="K73" s="37" t="s">
        <v>240</v>
      </c>
      <c r="L73" s="37">
        <v>23600000</v>
      </c>
    </row>
    <row r="74" spans="1:12" x14ac:dyDescent="0.25">
      <c r="A74" s="3">
        <v>165</v>
      </c>
      <c r="B74" s="3">
        <f>+VLOOKUP($A74,'REGISTRO GENERAL'!$A$4:$AA$201,COLUMN($B$1))</f>
        <v>1045</v>
      </c>
      <c r="C74" s="3">
        <f>+VLOOKUP($A74,'REGISTRO GENERAL'!$A$4:$AA$201,COLUMN($C$1))</f>
        <v>2024</v>
      </c>
      <c r="D74" s="3">
        <f>+VLOOKUP($A74,'REGISTRO GENERAL'!$A$4:$AA$201,COLUMN(D71))</f>
        <v>6</v>
      </c>
      <c r="E74" s="4" t="str">
        <f>+VLOOKUP($A74,'REGISTRO GENERAL'!$A$4:$AA$201,COLUMN($E$1))</f>
        <v>Vargas Vda. de Martínez, María Lilia Noemí</v>
      </c>
      <c r="F74" s="4">
        <f>+VLOOKUP($A74,'REGISTRO GENERAL'!$A$4:$AA$201,COLUMN('REGISTRO GENERAL'!M63))</f>
        <v>0</v>
      </c>
      <c r="G74" s="3"/>
      <c r="H74" s="3" t="s">
        <v>241</v>
      </c>
      <c r="I74" s="22">
        <f t="shared" si="10"/>
        <v>1.2216566596076308E-4</v>
      </c>
      <c r="J74" s="37">
        <f t="shared" si="9"/>
        <v>236</v>
      </c>
      <c r="K74" s="37" t="s">
        <v>240</v>
      </c>
      <c r="L74" s="37">
        <v>23600000</v>
      </c>
    </row>
    <row r="75" spans="1:12" x14ac:dyDescent="0.25">
      <c r="A75" s="3">
        <v>75</v>
      </c>
      <c r="B75" s="3">
        <f>+VLOOKUP($A75,'REGISTRO GENERAL'!$A$4:$AA$201,COLUMN($B$1))</f>
        <v>1045</v>
      </c>
      <c r="C75" s="3">
        <f>+VLOOKUP($A75,'REGISTRO GENERAL'!$A$4:$AA$201,COLUMN($C$1))</f>
        <v>2025</v>
      </c>
      <c r="D75" s="3">
        <f>+VLOOKUP($A75,'REGISTRO GENERAL'!$A$4:$AA$201,COLUMN(D70))</f>
        <v>12</v>
      </c>
      <c r="E75" s="4" t="str">
        <f>+VLOOKUP($A75,'REGISTRO GENERAL'!$A$4:$AA$201,COLUMN($E$1))</f>
        <v>Martínez de Cáceres, María Cristina</v>
      </c>
      <c r="F75" s="4" t="str">
        <f>+VLOOKUP($A75,'REGISTRO GENERAL'!$A$4:$AA$201,COLUMN('REGISTRO GENERAL'!M62))</f>
        <v>Hija de Noemí Vargas de Martínez</v>
      </c>
      <c r="G75" s="3" t="s">
        <v>10</v>
      </c>
      <c r="H75" s="3"/>
      <c r="I75" s="22">
        <f t="shared" si="10"/>
        <v>8.8621872934248477E-4</v>
      </c>
      <c r="J75" s="37">
        <f t="shared" si="9"/>
        <v>1712</v>
      </c>
      <c r="K75" s="37">
        <f>J75*5</f>
        <v>8560</v>
      </c>
      <c r="L75" s="37">
        <f>+'REGISTRO GENERAL'!AB78</f>
        <v>171200000</v>
      </c>
    </row>
    <row r="76" spans="1:12" x14ac:dyDescent="0.25">
      <c r="A76" s="3">
        <v>127</v>
      </c>
      <c r="B76" s="3">
        <f>+VLOOKUP($A76,'REGISTRO GENERAL'!$A$4:$AA$201,COLUMN($B$1))</f>
        <v>1045</v>
      </c>
      <c r="C76" s="3">
        <f>+VLOOKUP($A76,'REGISTRO GENERAL'!$A$4:$AA$201,COLUMN($C$1))</f>
        <v>2025</v>
      </c>
      <c r="D76" s="3">
        <f>+VLOOKUP($A76,'REGISTRO GENERAL'!$A$4:$AA$201,COLUMN(D71))</f>
        <v>6</v>
      </c>
      <c r="E76" s="4" t="str">
        <f>+VLOOKUP($A76,'REGISTRO GENERAL'!$A$4:$AA$201,COLUMN($E$1))</f>
        <v>Martínez de Cáceres, María Cristina</v>
      </c>
      <c r="F76" s="4">
        <f>+VLOOKUP($A76,'REGISTRO GENERAL'!$A$4:$AA$201,COLUMN('REGISTRO GENERAL'!M63))</f>
        <v>0</v>
      </c>
      <c r="G76" s="3"/>
      <c r="H76" s="3" t="s">
        <v>239</v>
      </c>
      <c r="I76" s="22">
        <f t="shared" si="10"/>
        <v>5.1247461568286209E-5</v>
      </c>
      <c r="J76" s="37">
        <f t="shared" si="9"/>
        <v>99</v>
      </c>
      <c r="K76" s="37" t="s">
        <v>240</v>
      </c>
      <c r="L76" s="37">
        <v>9900000</v>
      </c>
    </row>
    <row r="77" spans="1:12" x14ac:dyDescent="0.25">
      <c r="A77" s="3">
        <v>166</v>
      </c>
      <c r="B77" s="3">
        <f>+VLOOKUP($A77,'REGISTRO GENERAL'!$A$4:$AA$201,COLUMN($B$1))</f>
        <v>1045</v>
      </c>
      <c r="C77" s="3">
        <f>+VLOOKUP($A77,'REGISTRO GENERAL'!$A$4:$AA$201,COLUMN($C$1))</f>
        <v>2024</v>
      </c>
      <c r="D77" s="3">
        <f>+VLOOKUP($A77,'REGISTRO GENERAL'!$A$4:$AA$201,COLUMN(D72))</f>
        <v>6</v>
      </c>
      <c r="E77" s="4" t="str">
        <f>+VLOOKUP($A77,'REGISTRO GENERAL'!$A$4:$AA$201,COLUMN($E$1))</f>
        <v>Martínez de Cáceres, María Cristina</v>
      </c>
      <c r="F77" s="4">
        <f>+VLOOKUP($A77,'REGISTRO GENERAL'!$A$4:$AA$201,COLUMN('REGISTRO GENERAL'!M64))</f>
        <v>0</v>
      </c>
      <c r="G77" s="3"/>
      <c r="H77" s="3" t="s">
        <v>241</v>
      </c>
      <c r="I77" s="22">
        <f t="shared" si="10"/>
        <v>5.0729810441333823E-5</v>
      </c>
      <c r="J77" s="37">
        <f t="shared" si="9"/>
        <v>98</v>
      </c>
      <c r="K77" s="37" t="s">
        <v>240</v>
      </c>
      <c r="L77" s="37">
        <v>9800000</v>
      </c>
    </row>
    <row r="78" spans="1:12" x14ac:dyDescent="0.25">
      <c r="A78" s="3">
        <v>76</v>
      </c>
      <c r="B78" s="3">
        <f>+VLOOKUP($A78,'REGISTRO GENERAL'!$A$4:$AA$201,COLUMN($B$1))</f>
        <v>1045</v>
      </c>
      <c r="C78" s="3">
        <f>+VLOOKUP($A78,'REGISTRO GENERAL'!$A$4:$AA$201,COLUMN($C$1))</f>
        <v>2025</v>
      </c>
      <c r="D78" s="3">
        <f>+VLOOKUP($A78,'REGISTRO GENERAL'!$A$4:$AA$201,COLUMN(D71))</f>
        <v>12</v>
      </c>
      <c r="E78" s="4" t="str">
        <f>+VLOOKUP($A78,'REGISTRO GENERAL'!$A$4:$AA$201,COLUMN($E$1))</f>
        <v>Martínez de Fleitas, María Lilia</v>
      </c>
      <c r="F78" s="4" t="e">
        <f>+VLOOKUP($A78,'REGISTRO GENERAL'!$A$4:$AA$201,COLUMN('REGISTRO GENERAL'!#REF!))</f>
        <v>#REF!</v>
      </c>
      <c r="G78" s="3" t="s">
        <v>10</v>
      </c>
      <c r="H78" s="3"/>
      <c r="I78" s="22">
        <f t="shared" si="10"/>
        <v>8.8621872934248477E-4</v>
      </c>
      <c r="J78" s="37">
        <f t="shared" si="9"/>
        <v>1712</v>
      </c>
      <c r="K78" s="37">
        <f t="shared" ref="K78:K87" si="11">J78*5</f>
        <v>8560</v>
      </c>
      <c r="L78" s="37">
        <f>+'REGISTRO GENERAL'!AB79</f>
        <v>171200000</v>
      </c>
    </row>
    <row r="79" spans="1:12" x14ac:dyDescent="0.25">
      <c r="A79" s="3">
        <v>128</v>
      </c>
      <c r="B79" s="3">
        <f>+VLOOKUP($A79,'REGISTRO GENERAL'!$A$4:$AA$201,COLUMN($B$1))</f>
        <v>1045</v>
      </c>
      <c r="C79" s="3">
        <f>+VLOOKUP($A79,'REGISTRO GENERAL'!$A$4:$AA$201,COLUMN($C$1))</f>
        <v>2025</v>
      </c>
      <c r="D79" s="3">
        <f>+VLOOKUP($A79,'REGISTRO GENERAL'!$A$4:$AA$201,COLUMN(D74))</f>
        <v>6</v>
      </c>
      <c r="E79" s="4" t="str">
        <f>+VLOOKUP($A79,'REGISTRO GENERAL'!$A$4:$AA$201,COLUMN($E$1))</f>
        <v>Martínez de Fleitas, María Lilia</v>
      </c>
      <c r="F79" s="4">
        <f>+VLOOKUP($A79,'REGISTRO GENERAL'!$A$4:$AA$201,COLUMN('REGISTRO GENERAL'!M66))</f>
        <v>0</v>
      </c>
      <c r="G79" s="3"/>
      <c r="H79" s="3" t="s">
        <v>239</v>
      </c>
      <c r="I79" s="22">
        <f t="shared" si="10"/>
        <v>5.1247461568286209E-5</v>
      </c>
      <c r="J79" s="37">
        <f t="shared" si="9"/>
        <v>99</v>
      </c>
      <c r="K79" s="37" t="s">
        <v>240</v>
      </c>
      <c r="L79" s="37">
        <v>9900000</v>
      </c>
    </row>
    <row r="80" spans="1:12" x14ac:dyDescent="0.25">
      <c r="A80" s="3">
        <v>167</v>
      </c>
      <c r="B80" s="3">
        <f>+VLOOKUP($A80,'REGISTRO GENERAL'!$A$4:$AA$201,COLUMN($B$1))</f>
        <v>1045</v>
      </c>
      <c r="C80" s="3">
        <f>+VLOOKUP($A80,'REGISTRO GENERAL'!$A$4:$AA$201,COLUMN($C$1))</f>
        <v>2024</v>
      </c>
      <c r="D80" s="3">
        <f>+VLOOKUP($A80,'REGISTRO GENERAL'!$A$4:$AA$201,COLUMN(D75))</f>
        <v>6</v>
      </c>
      <c r="E80" s="4" t="str">
        <f>+VLOOKUP($A80,'REGISTRO GENERAL'!$A$4:$AA$201,COLUMN($E$1))</f>
        <v>Martínez de Fleitas, María Lilia</v>
      </c>
      <c r="F80" s="4">
        <f>+VLOOKUP($A80,'REGISTRO GENERAL'!$A$4:$AA$201,COLUMN('REGISTRO GENERAL'!M67))</f>
        <v>0</v>
      </c>
      <c r="G80" s="3"/>
      <c r="H80" s="3" t="s">
        <v>241</v>
      </c>
      <c r="I80" s="22">
        <f t="shared" si="10"/>
        <v>5.0729810441333823E-5</v>
      </c>
      <c r="J80" s="37">
        <f t="shared" si="9"/>
        <v>98</v>
      </c>
      <c r="K80" s="37" t="s">
        <v>240</v>
      </c>
      <c r="L80" s="37">
        <v>9800000</v>
      </c>
    </row>
    <row r="81" spans="1:12" x14ac:dyDescent="0.25">
      <c r="A81" s="3">
        <v>77</v>
      </c>
      <c r="B81" s="3">
        <f>+VLOOKUP($A81,'REGISTRO GENERAL'!$A$4:$AA$201,COLUMN($B$1))</f>
        <v>1045</v>
      </c>
      <c r="C81" s="3">
        <f>+VLOOKUP($A81,'REGISTRO GENERAL'!$A$4:$AA$201,COLUMN($C$1))</f>
        <v>2025</v>
      </c>
      <c r="D81" s="3">
        <f>+VLOOKUP($A81,'REGISTRO GENERAL'!$A$4:$AA$201,COLUMN(D72))</f>
        <v>12</v>
      </c>
      <c r="E81" s="4" t="str">
        <f>+VLOOKUP($A81,'REGISTRO GENERAL'!$A$4:$AA$201,COLUMN($E$1))</f>
        <v>Martínez Vargas, Javier Luís</v>
      </c>
      <c r="F81" s="4" t="str">
        <f>+VLOOKUP($A81,'REGISTRO GENERAL'!$A$4:$AA$201,COLUMN('REGISTRO GENERAL'!M64))</f>
        <v>Hijo de Noemí Vargas de Martínez</v>
      </c>
      <c r="G81" s="3" t="s">
        <v>10</v>
      </c>
      <c r="H81" s="3"/>
      <c r="I81" s="22">
        <f t="shared" si="10"/>
        <v>8.8621872934248477E-4</v>
      </c>
      <c r="J81" s="37">
        <f t="shared" si="9"/>
        <v>1712</v>
      </c>
      <c r="K81" s="37">
        <f t="shared" si="11"/>
        <v>8560</v>
      </c>
      <c r="L81" s="37">
        <f>+'REGISTRO GENERAL'!AB80</f>
        <v>171200000</v>
      </c>
    </row>
    <row r="82" spans="1:12" x14ac:dyDescent="0.25">
      <c r="A82" s="3">
        <v>129</v>
      </c>
      <c r="B82" s="3">
        <f>+VLOOKUP($A82,'REGISTRO GENERAL'!$A$4:$AA$201,COLUMN($B$1))</f>
        <v>1045</v>
      </c>
      <c r="C82" s="3">
        <f>+VLOOKUP($A82,'REGISTRO GENERAL'!$A$4:$AA$201,COLUMN($C$1))</f>
        <v>2025</v>
      </c>
      <c r="D82" s="3">
        <f>+VLOOKUP($A82,'REGISTRO GENERAL'!$A$4:$AA$201,COLUMN(D77))</f>
        <v>6</v>
      </c>
      <c r="E82" s="4" t="str">
        <f>+VLOOKUP($A82,'REGISTRO GENERAL'!$A$4:$AA$201,COLUMN($E$1))</f>
        <v>Martínez Vargas, Javier Luís</v>
      </c>
      <c r="F82" s="4">
        <f>+VLOOKUP($A82,'REGISTRO GENERAL'!$A$4:$AA$201,COLUMN('REGISTRO GENERAL'!M69))</f>
        <v>0</v>
      </c>
      <c r="G82" s="3"/>
      <c r="H82" s="3" t="s">
        <v>239</v>
      </c>
      <c r="I82" s="22">
        <f t="shared" si="10"/>
        <v>5.1247461568286209E-5</v>
      </c>
      <c r="J82" s="37">
        <f t="shared" si="9"/>
        <v>99</v>
      </c>
      <c r="K82" s="37" t="s">
        <v>240</v>
      </c>
      <c r="L82" s="37">
        <v>9900000</v>
      </c>
    </row>
    <row r="83" spans="1:12" x14ac:dyDescent="0.25">
      <c r="A83" s="3">
        <v>168</v>
      </c>
      <c r="B83" s="3">
        <f>+VLOOKUP($A83,'REGISTRO GENERAL'!$A$4:$AA$201,COLUMN($B$1))</f>
        <v>1045</v>
      </c>
      <c r="C83" s="3">
        <f>+VLOOKUP($A83,'REGISTRO GENERAL'!$A$4:$AA$201,COLUMN($C$1))</f>
        <v>2024</v>
      </c>
      <c r="D83" s="3">
        <f>+VLOOKUP($A83,'REGISTRO GENERAL'!$A$4:$AA$201,COLUMN(D78))</f>
        <v>6</v>
      </c>
      <c r="E83" s="4" t="str">
        <f>+VLOOKUP($A83,'REGISTRO GENERAL'!$A$4:$AA$201,COLUMN($E$1))</f>
        <v>Martínez Vargas, Javier Luís</v>
      </c>
      <c r="F83" s="4">
        <f>+VLOOKUP($A83,'REGISTRO GENERAL'!$A$4:$AA$201,COLUMN('REGISTRO GENERAL'!M70))</f>
        <v>0</v>
      </c>
      <c r="G83" s="3"/>
      <c r="H83" s="3" t="s">
        <v>241</v>
      </c>
      <c r="I83" s="22">
        <f t="shared" si="10"/>
        <v>5.0729810441333823E-5</v>
      </c>
      <c r="J83" s="37">
        <f t="shared" si="9"/>
        <v>98</v>
      </c>
      <c r="K83" s="37" t="s">
        <v>240</v>
      </c>
      <c r="L83" s="37">
        <v>9800000</v>
      </c>
    </row>
    <row r="84" spans="1:12" x14ac:dyDescent="0.25">
      <c r="A84" s="3">
        <v>78</v>
      </c>
      <c r="B84" s="3">
        <f>+VLOOKUP($A84,'REGISTRO GENERAL'!$A$4:$AA$201,COLUMN($B$1))</f>
        <v>1045</v>
      </c>
      <c r="C84" s="3">
        <f>+VLOOKUP($A84,'REGISTRO GENERAL'!$A$4:$AA$201,COLUMN($C$1))</f>
        <v>2025</v>
      </c>
      <c r="D84" s="3">
        <f>+VLOOKUP($A84,'REGISTRO GENERAL'!$A$4:$AA$201,COLUMN(D72))</f>
        <v>12</v>
      </c>
      <c r="E84" s="4" t="str">
        <f>+VLOOKUP($A84,'REGISTRO GENERAL'!$A$4:$AA$201,COLUMN($E$1))</f>
        <v>Martínez Vargas, José María</v>
      </c>
      <c r="F84" s="4" t="e">
        <f>+VLOOKUP($A84,'REGISTRO GENERAL'!$A$4:$AA$201,COLUMN('REGISTRO GENERAL'!#REF!))</f>
        <v>#REF!</v>
      </c>
      <c r="G84" s="3" t="s">
        <v>10</v>
      </c>
      <c r="H84" s="3"/>
      <c r="I84" s="22">
        <f t="shared" si="10"/>
        <v>8.8621872934248477E-4</v>
      </c>
      <c r="J84" s="37">
        <f t="shared" si="9"/>
        <v>1712</v>
      </c>
      <c r="K84" s="37">
        <f t="shared" si="11"/>
        <v>8560</v>
      </c>
      <c r="L84" s="37">
        <f>+'REGISTRO GENERAL'!AB81</f>
        <v>171200000</v>
      </c>
    </row>
    <row r="85" spans="1:12" x14ac:dyDescent="0.25">
      <c r="A85" s="3">
        <v>130</v>
      </c>
      <c r="B85" s="3">
        <f>+VLOOKUP($A85,'REGISTRO GENERAL'!$A$4:$AA$201,COLUMN($B$1))</f>
        <v>1045</v>
      </c>
      <c r="C85" s="3">
        <f>+VLOOKUP($A85,'REGISTRO GENERAL'!$A$4:$AA$201,COLUMN($C$1))</f>
        <v>2025</v>
      </c>
      <c r="D85" s="3">
        <f>+VLOOKUP($A85,'REGISTRO GENERAL'!$A$4:$AA$201,COLUMN(D80))</f>
        <v>6</v>
      </c>
      <c r="E85" s="4" t="str">
        <f>+VLOOKUP($A85,'REGISTRO GENERAL'!$A$4:$AA$201,COLUMN($E$1))</f>
        <v>Martínez Vargas, José María</v>
      </c>
      <c r="F85" s="4">
        <f>+VLOOKUP($A85,'REGISTRO GENERAL'!$A$4:$AA$201,COLUMN('REGISTRO GENERAL'!M72))</f>
        <v>0</v>
      </c>
      <c r="G85" s="3"/>
      <c r="H85" s="3" t="s">
        <v>239</v>
      </c>
      <c r="I85" s="22">
        <f t="shared" si="10"/>
        <v>5.1247461568286209E-5</v>
      </c>
      <c r="J85" s="37">
        <f t="shared" si="9"/>
        <v>99</v>
      </c>
      <c r="K85" s="37" t="s">
        <v>240</v>
      </c>
      <c r="L85" s="37">
        <v>9900000</v>
      </c>
    </row>
    <row r="86" spans="1:12" x14ac:dyDescent="0.25">
      <c r="A86" s="3">
        <v>169</v>
      </c>
      <c r="B86" s="3">
        <f>+VLOOKUP($A86,'REGISTRO GENERAL'!$A$4:$AA$201,COLUMN($B$1))</f>
        <v>1045</v>
      </c>
      <c r="C86" s="3">
        <f>+VLOOKUP($A86,'REGISTRO GENERAL'!$A$4:$AA$201,COLUMN($C$1))</f>
        <v>2024</v>
      </c>
      <c r="D86" s="3">
        <f>+VLOOKUP($A86,'REGISTRO GENERAL'!$A$4:$AA$201,COLUMN(D81))</f>
        <v>6</v>
      </c>
      <c r="E86" s="4" t="str">
        <f>+VLOOKUP($A86,'REGISTRO GENERAL'!$A$4:$AA$201,COLUMN($E$1))</f>
        <v>Martínez Vargas, José María</v>
      </c>
      <c r="F86" s="4">
        <f>+VLOOKUP($A86,'REGISTRO GENERAL'!$A$4:$AA$201,COLUMN('REGISTRO GENERAL'!M73))</f>
        <v>0</v>
      </c>
      <c r="G86" s="3"/>
      <c r="H86" s="3" t="s">
        <v>241</v>
      </c>
      <c r="I86" s="22">
        <f t="shared" si="10"/>
        <v>5.0729810441333823E-5</v>
      </c>
      <c r="J86" s="37">
        <f t="shared" si="9"/>
        <v>98</v>
      </c>
      <c r="K86" s="37" t="s">
        <v>240</v>
      </c>
      <c r="L86" s="37">
        <v>9800000</v>
      </c>
    </row>
    <row r="87" spans="1:12" x14ac:dyDescent="0.25">
      <c r="A87" s="3">
        <v>79</v>
      </c>
      <c r="B87" s="3">
        <f>+VLOOKUP($A87,'REGISTRO GENERAL'!$A$4:$AA$201,COLUMN($B$1))</f>
        <v>1045</v>
      </c>
      <c r="C87" s="3">
        <f>+VLOOKUP($A87,'REGISTRO GENERAL'!$A$4:$AA$201,COLUMN($C$1))</f>
        <v>2025</v>
      </c>
      <c r="D87" s="3">
        <f>+VLOOKUP($A87,'REGISTRO GENERAL'!$A$4:$AA$201,COLUMN(D73))</f>
        <v>12</v>
      </c>
      <c r="E87" s="4" t="str">
        <f>+VLOOKUP($A87,'REGISTRO GENERAL'!$A$4:$AA$201,COLUMN($E$1))</f>
        <v>Martínez Vargas, Marcelo Amado</v>
      </c>
      <c r="F87" s="4" t="str">
        <f>+VLOOKUP($A87,'REGISTRO GENERAL'!$A$4:$AA$201,COLUMN('REGISTRO GENERAL'!M40))</f>
        <v>Hijo de Noemí Vargas de Martínez</v>
      </c>
      <c r="G87" s="3" t="s">
        <v>10</v>
      </c>
      <c r="H87" s="3"/>
      <c r="I87" s="22">
        <f t="shared" si="10"/>
        <v>8.8621872934248477E-4</v>
      </c>
      <c r="J87" s="37">
        <f t="shared" si="9"/>
        <v>1712</v>
      </c>
      <c r="K87" s="37">
        <f t="shared" si="11"/>
        <v>8560</v>
      </c>
      <c r="L87" s="37">
        <f>+'REGISTRO GENERAL'!AB82</f>
        <v>171200000</v>
      </c>
    </row>
    <row r="88" spans="1:12" x14ac:dyDescent="0.25">
      <c r="A88" s="3">
        <v>131</v>
      </c>
      <c r="B88" s="3">
        <f>+VLOOKUP($A88,'REGISTRO GENERAL'!$A$4:$AA$201,COLUMN($B$1))</f>
        <v>1045</v>
      </c>
      <c r="C88" s="3">
        <f>+VLOOKUP($A88,'REGISTRO GENERAL'!$A$4:$AA$201,COLUMN($C$1))</f>
        <v>2025</v>
      </c>
      <c r="D88" s="3">
        <f>+VLOOKUP($A88,'REGISTRO GENERAL'!$A$4:$AA$201,COLUMN(D83))</f>
        <v>6</v>
      </c>
      <c r="E88" s="4" t="str">
        <f>+VLOOKUP($A88,'REGISTRO GENERAL'!$A$4:$AA$201,COLUMN($E$1))</f>
        <v>Martínez Vargas, Marcelo Amado</v>
      </c>
      <c r="F88" s="4">
        <f>+VLOOKUP($A88,'REGISTRO GENERAL'!$A$4:$AA$201,COLUMN('REGISTRO GENERAL'!M75))</f>
        <v>0</v>
      </c>
      <c r="G88" s="3"/>
      <c r="H88" s="3" t="s">
        <v>239</v>
      </c>
      <c r="I88" s="22">
        <f t="shared" si="10"/>
        <v>5.1247461568286209E-5</v>
      </c>
      <c r="J88" s="37">
        <f t="shared" si="9"/>
        <v>99</v>
      </c>
      <c r="K88" s="37" t="s">
        <v>240</v>
      </c>
      <c r="L88" s="37">
        <v>9900000</v>
      </c>
    </row>
    <row r="89" spans="1:12" x14ac:dyDescent="0.25">
      <c r="A89" s="3">
        <v>170</v>
      </c>
      <c r="B89" s="3">
        <f>+VLOOKUP($A89,'REGISTRO GENERAL'!$A$4:$AA$201,COLUMN($B$1))</f>
        <v>1045</v>
      </c>
      <c r="C89" s="3">
        <f>+VLOOKUP($A89,'REGISTRO GENERAL'!$A$4:$AA$201,COLUMN($C$1))</f>
        <v>2024</v>
      </c>
      <c r="D89" s="3">
        <f>+VLOOKUP($A89,'REGISTRO GENERAL'!$A$4:$AA$201,COLUMN(D75))</f>
        <v>6</v>
      </c>
      <c r="E89" s="4" t="str">
        <f>+VLOOKUP($A89,'REGISTRO GENERAL'!$A$4:$AA$201,COLUMN($E$1))</f>
        <v>Martínez Vargas, Marcelo Amado</v>
      </c>
      <c r="F89" s="4">
        <f>+VLOOKUP($A89,'REGISTRO GENERAL'!$A$4:$AA$201,COLUMN('REGISTRO GENERAL'!M42))</f>
        <v>0</v>
      </c>
      <c r="G89" s="3"/>
      <c r="H89" s="3" t="s">
        <v>241</v>
      </c>
      <c r="I89" s="22">
        <f t="shared" si="10"/>
        <v>5.0729810441333823E-5</v>
      </c>
      <c r="J89" s="37">
        <f t="shared" si="9"/>
        <v>98</v>
      </c>
      <c r="K89" s="37" t="s">
        <v>240</v>
      </c>
      <c r="L89" s="37">
        <v>9800000</v>
      </c>
    </row>
    <row r="90" spans="1:12" x14ac:dyDescent="0.25">
      <c r="A90" s="123" t="s">
        <v>30</v>
      </c>
      <c r="B90" s="124"/>
      <c r="C90" s="124"/>
      <c r="D90" s="125"/>
      <c r="E90" s="23" t="s">
        <v>39</v>
      </c>
      <c r="F90" s="24"/>
      <c r="G90" s="26"/>
      <c r="H90" s="27"/>
      <c r="I90" s="28">
        <f>+SUM(I72:I89)</f>
        <v>7.3138927727102628E-3</v>
      </c>
      <c r="J90" s="29">
        <f>+SUM(J72:J89)</f>
        <v>14129</v>
      </c>
      <c r="K90" s="29">
        <f>+SUM(K72:K89)</f>
        <v>59820</v>
      </c>
      <c r="L90" s="29">
        <f>+SUM(L72:L89)</f>
        <v>1412900000</v>
      </c>
    </row>
    <row r="91" spans="1:12" x14ac:dyDescent="0.25">
      <c r="A91" s="3">
        <v>53</v>
      </c>
      <c r="B91" s="3">
        <f>+VLOOKUP($A91,'REGISTRO GENERAL'!$A$4:$AA$201,COLUMN($B$1))</f>
        <v>1045</v>
      </c>
      <c r="C91" s="3">
        <f>+VLOOKUP($A91,'REGISTRO GENERAL'!$A$4:$AA$201,COLUMN($C$1))</f>
        <v>2025</v>
      </c>
      <c r="D91" s="3">
        <f>+VLOOKUP($A91,'REGISTRO GENERAL'!$A$4:$AA$201,COLUMN(D90))</f>
        <v>12</v>
      </c>
      <c r="E91" s="4" t="str">
        <f>+VLOOKUP($A91,'REGISTRO GENERAL'!$A$4:$AA$201,COLUMN($E$1))</f>
        <v>Martínez Gaona, María Gazul</v>
      </c>
      <c r="F91" s="4" t="str">
        <f>+VLOOKUP($A91,'REGISTRO GENERAL'!$A$4:$AA$201,COLUMN('REGISTRO GENERAL'!M70))</f>
        <v xml:space="preserve">Hna de Octavio y Victor. </v>
      </c>
      <c r="G91" s="3" t="s">
        <v>10</v>
      </c>
      <c r="H91" s="3"/>
      <c r="I91" s="22">
        <f t="shared" ref="I91:I96" si="12">L91/$L$4</f>
        <v>2.1399697588211633E-3</v>
      </c>
      <c r="J91" s="37">
        <f t="shared" si="9"/>
        <v>4134</v>
      </c>
      <c r="K91" s="37">
        <f>J91*5</f>
        <v>20670</v>
      </c>
      <c r="L91" s="37">
        <f>+'REGISTRO GENERAL'!AB56</f>
        <v>413400000</v>
      </c>
    </row>
    <row r="92" spans="1:12" x14ac:dyDescent="0.25">
      <c r="A92" s="3">
        <v>119</v>
      </c>
      <c r="B92" s="3">
        <f>+VLOOKUP($A92,'REGISTRO GENERAL'!$A$4:$AA$201,COLUMN($B$1))</f>
        <v>1045</v>
      </c>
      <c r="C92" s="3">
        <f>+VLOOKUP($A92,'REGISTRO GENERAL'!$A$4:$AA$201,COLUMN($C$1))</f>
        <v>2025</v>
      </c>
      <c r="D92" s="3">
        <f>+VLOOKUP($A92,'REGISTRO GENERAL'!$A$4:$AA$201,COLUMN(D91))</f>
        <v>6</v>
      </c>
      <c r="E92" s="4" t="str">
        <f>+VLOOKUP($A92,'REGISTRO GENERAL'!$A$4:$AA$201,COLUMN($E$1))</f>
        <v>Martínez Gaona, María Gazul</v>
      </c>
      <c r="F92" s="4">
        <f>+VLOOKUP($A92,'REGISTRO GENERAL'!$A$4:$AA$201,COLUMN('REGISTRO GENERAL'!M71))</f>
        <v>0</v>
      </c>
      <c r="G92" s="3"/>
      <c r="H92" s="3" t="s">
        <v>239</v>
      </c>
      <c r="I92" s="22">
        <f t="shared" si="12"/>
        <v>1.2320096821466785E-4</v>
      </c>
      <c r="J92" s="37">
        <f t="shared" si="9"/>
        <v>238</v>
      </c>
      <c r="K92" s="37" t="s">
        <v>240</v>
      </c>
      <c r="L92" s="37">
        <v>23800000</v>
      </c>
    </row>
    <row r="93" spans="1:12" x14ac:dyDescent="0.25">
      <c r="A93" s="3">
        <v>162</v>
      </c>
      <c r="B93" s="3">
        <f>+VLOOKUP($A93,'REGISTRO GENERAL'!$A$4:$AA$201,COLUMN($B$1))</f>
        <v>1045</v>
      </c>
      <c r="C93" s="3">
        <f>+VLOOKUP($A93,'REGISTRO GENERAL'!$A$4:$AA$201,COLUMN($C$1))</f>
        <v>2024</v>
      </c>
      <c r="D93" s="3">
        <f>+VLOOKUP($A93,'REGISTRO GENERAL'!$A$4:$AA$201,COLUMN(D92))</f>
        <v>6</v>
      </c>
      <c r="E93" s="4" t="str">
        <f>+VLOOKUP($A93,'REGISTRO GENERAL'!$A$4:$AA$201,COLUMN($E$1))</f>
        <v>Martínez Gaona, María Gazul</v>
      </c>
      <c r="F93" s="4">
        <f>+VLOOKUP($A93,'REGISTRO GENERAL'!$A$4:$AA$201,COLUMN('REGISTRO GENERAL'!M72))</f>
        <v>0</v>
      </c>
      <c r="G93" s="3"/>
      <c r="H93" s="3" t="s">
        <v>241</v>
      </c>
      <c r="I93" s="22">
        <f t="shared" si="12"/>
        <v>1.2268331708771546E-4</v>
      </c>
      <c r="J93" s="37">
        <f t="shared" ref="J93" si="13">L93/100000</f>
        <v>237</v>
      </c>
      <c r="K93" s="37" t="s">
        <v>240</v>
      </c>
      <c r="L93" s="37">
        <v>23700000</v>
      </c>
    </row>
    <row r="94" spans="1:12" x14ac:dyDescent="0.25">
      <c r="A94" s="3">
        <v>54</v>
      </c>
      <c r="B94" s="3">
        <f>+VLOOKUP($A94,'REGISTRO GENERAL'!$A$4:$AA$201,COLUMN($B$1))</f>
        <v>1045</v>
      </c>
      <c r="C94" s="3">
        <f>+VLOOKUP($A94,'REGISTRO GENERAL'!$A$4:$AA$201,COLUMN($C$1))</f>
        <v>2025</v>
      </c>
      <c r="D94" s="3">
        <f>+VLOOKUP($A94,'REGISTRO GENERAL'!$A$4:$AA$201,COLUMN(D91))</f>
        <v>12</v>
      </c>
      <c r="E94" s="4" t="str">
        <f>+VLOOKUP($A94,'REGISTRO GENERAL'!$A$4:$AA$201,COLUMN($E$1))</f>
        <v>Martínez Gaona, Octavio Miguel</v>
      </c>
      <c r="F94" s="4" t="str">
        <f>+VLOOKUP($A94,'REGISTRO GENERAL'!$A$4:$AA$201,COLUMN('REGISTRO GENERAL'!M71))</f>
        <v>Hno de Maria y Victor</v>
      </c>
      <c r="G94" s="3" t="s">
        <v>10</v>
      </c>
      <c r="H94" s="3"/>
      <c r="I94" s="22">
        <f t="shared" si="12"/>
        <v>2.1399697588211633E-3</v>
      </c>
      <c r="J94" s="37">
        <f t="shared" si="9"/>
        <v>4134</v>
      </c>
      <c r="K94" s="37">
        <f>J94*5</f>
        <v>20670</v>
      </c>
      <c r="L94" s="37">
        <f>+'REGISTRO GENERAL'!AB57</f>
        <v>413400000</v>
      </c>
    </row>
    <row r="95" spans="1:12" x14ac:dyDescent="0.25">
      <c r="A95" s="3">
        <v>120</v>
      </c>
      <c r="B95" s="3">
        <f>+VLOOKUP($A95,'REGISTRO GENERAL'!$A$4:$AA$201,COLUMN($B$1))</f>
        <v>1045</v>
      </c>
      <c r="C95" s="3">
        <f>+VLOOKUP($A95,'REGISTRO GENERAL'!$A$4:$AA$201,COLUMN($C$1))</f>
        <v>2025</v>
      </c>
      <c r="D95" s="3">
        <f>+VLOOKUP($A95,'REGISTRO GENERAL'!$A$4:$AA$201,COLUMN(D94))</f>
        <v>6</v>
      </c>
      <c r="E95" s="4" t="str">
        <f>+VLOOKUP($A95,'REGISTRO GENERAL'!$A$4:$AA$201,COLUMN($E$1))</f>
        <v>Martínez Gaona, Octavio Miguel</v>
      </c>
      <c r="F95" s="4">
        <f>+VLOOKUP($A95,'REGISTRO GENERAL'!$A$4:$AA$201,COLUMN('REGISTRO GENERAL'!M73))</f>
        <v>0</v>
      </c>
      <c r="G95" s="3"/>
      <c r="H95" s="3" t="s">
        <v>239</v>
      </c>
      <c r="I95" s="22">
        <f t="shared" si="12"/>
        <v>1.2320096821466785E-4</v>
      </c>
      <c r="J95" s="37">
        <f t="shared" si="9"/>
        <v>238</v>
      </c>
      <c r="K95" s="37" t="s">
        <v>240</v>
      </c>
      <c r="L95" s="37">
        <v>23800000</v>
      </c>
    </row>
    <row r="96" spans="1:12" x14ac:dyDescent="0.25">
      <c r="A96" s="3">
        <v>163</v>
      </c>
      <c r="B96" s="3">
        <f>+VLOOKUP($A96,'REGISTRO GENERAL'!$A$4:$AA$201,COLUMN($B$1))</f>
        <v>1045</v>
      </c>
      <c r="C96" s="3">
        <f>+VLOOKUP($A96,'REGISTRO GENERAL'!$A$4:$AA$201,COLUMN($C$1))</f>
        <v>2024</v>
      </c>
      <c r="D96" s="3">
        <f>+VLOOKUP($A96,'REGISTRO GENERAL'!$A$4:$AA$201,COLUMN(D95))</f>
        <v>6</v>
      </c>
      <c r="E96" s="4" t="str">
        <f>+VLOOKUP($A96,'REGISTRO GENERAL'!$A$4:$AA$201,COLUMN($E$1))</f>
        <v>Martínez Gaona, Octavio Miguel</v>
      </c>
      <c r="F96" s="4">
        <f>+VLOOKUP($A96,'REGISTRO GENERAL'!$A$4:$AA$201,COLUMN('REGISTRO GENERAL'!M75))</f>
        <v>0</v>
      </c>
      <c r="G96" s="3"/>
      <c r="H96" s="3" t="s">
        <v>241</v>
      </c>
      <c r="I96" s="22">
        <f t="shared" si="12"/>
        <v>1.2268331708771546E-4</v>
      </c>
      <c r="J96" s="37">
        <f t="shared" ref="J96" si="14">L96/100000</f>
        <v>237</v>
      </c>
      <c r="K96" s="37" t="s">
        <v>240</v>
      </c>
      <c r="L96" s="37">
        <v>23700000</v>
      </c>
    </row>
    <row r="97" spans="1:12" x14ac:dyDescent="0.25">
      <c r="A97" s="3">
        <v>55</v>
      </c>
      <c r="B97" s="3">
        <f>+VLOOKUP($A97,'REGISTRO GENERAL'!$A$4:$AA$201,COLUMN($B$1))</f>
        <v>1045</v>
      </c>
      <c r="C97" s="3">
        <f>+VLOOKUP($A97,'REGISTRO GENERAL'!$A$4:$AA$201,COLUMN($C$1))</f>
        <v>2025</v>
      </c>
      <c r="D97" s="3">
        <f>+VLOOKUP($A97,'REGISTRO GENERAL'!$A$4:$AA$201,COLUMN(D92))</f>
        <v>12</v>
      </c>
      <c r="E97" s="4" t="str">
        <f>+VLOOKUP($A97,'REGISTRO GENERAL'!$A$4:$AA$201,COLUMN($E$1))</f>
        <v>Martínez Gaona, Victor Juan</v>
      </c>
      <c r="F97" s="4" t="str">
        <f>+VLOOKUP($A97,'REGISTRO GENERAL'!$A$4:$AA$201,COLUMN('REGISTRO GENERAL'!M71))</f>
        <v>Hno de Maria y Octavio</v>
      </c>
      <c r="G97" s="3" t="s">
        <v>10</v>
      </c>
      <c r="H97" s="3"/>
      <c r="I97" s="22">
        <f t="shared" ref="I97" si="15">L97/$L$4</f>
        <v>2.1399697588211633E-3</v>
      </c>
      <c r="J97" s="37">
        <f t="shared" si="9"/>
        <v>4134</v>
      </c>
      <c r="K97" s="37">
        <f>J97*5</f>
        <v>20670</v>
      </c>
      <c r="L97" s="37">
        <f>+'REGISTRO GENERAL'!AB58</f>
        <v>413400000</v>
      </c>
    </row>
    <row r="98" spans="1:12" x14ac:dyDescent="0.25">
      <c r="A98" s="3">
        <v>121</v>
      </c>
      <c r="B98" s="3">
        <f>+VLOOKUP($A98,'REGISTRO GENERAL'!$A$4:$AA$201,COLUMN($B$1))</f>
        <v>1045</v>
      </c>
      <c r="C98" s="3">
        <f>+VLOOKUP($A98,'REGISTRO GENERAL'!$A$4:$AA$201,COLUMN($C$1))</f>
        <v>2025</v>
      </c>
      <c r="D98" s="3">
        <f>+VLOOKUP($A98,'REGISTRO GENERAL'!$A$4:$AA$201,COLUMN(D96))</f>
        <v>6</v>
      </c>
      <c r="E98" s="4" t="str">
        <f>+VLOOKUP($A98,'REGISTRO GENERAL'!$A$4:$AA$201,COLUMN($E$1))</f>
        <v>Martínez Gaona, Victor Juan</v>
      </c>
      <c r="F98" s="4">
        <f>+VLOOKUP($A98,'REGISTRO GENERAL'!$A$4:$AA$201,COLUMN('REGISTRO GENERAL'!M74))</f>
        <v>0</v>
      </c>
      <c r="G98" s="3"/>
      <c r="H98" s="3" t="s">
        <v>239</v>
      </c>
      <c r="I98" s="22">
        <f>L98/$L$4</f>
        <v>1.2320096821466785E-4</v>
      </c>
      <c r="J98" s="37">
        <f t="shared" ref="J98" si="16">L98/100000</f>
        <v>238</v>
      </c>
      <c r="K98" s="37" t="s">
        <v>240</v>
      </c>
      <c r="L98" s="37">
        <v>23800000</v>
      </c>
    </row>
    <row r="99" spans="1:12" x14ac:dyDescent="0.25">
      <c r="A99" s="3">
        <v>164</v>
      </c>
      <c r="B99" s="3">
        <f>+VLOOKUP($A99,'REGISTRO GENERAL'!$A$4:$AA$201,COLUMN($B$1))</f>
        <v>1045</v>
      </c>
      <c r="C99" s="3">
        <f>+VLOOKUP($A99,'REGISTRO GENERAL'!$A$4:$AA$201,COLUMN($C$1))</f>
        <v>2024</v>
      </c>
      <c r="D99" s="3">
        <f>+VLOOKUP($A99,'REGISTRO GENERAL'!$A$4:$AA$201,COLUMN(D97))</f>
        <v>6</v>
      </c>
      <c r="E99" s="4" t="str">
        <f>+VLOOKUP($A99,'REGISTRO GENERAL'!$A$4:$AA$201,COLUMN($E$1))</f>
        <v>Martínez Gaona, Victor Juan</v>
      </c>
      <c r="F99" s="4">
        <f>+VLOOKUP($A99,'REGISTRO GENERAL'!$A$4:$AA$201,COLUMN('REGISTRO GENERAL'!M75))</f>
        <v>0</v>
      </c>
      <c r="G99" s="3"/>
      <c r="H99" s="3" t="s">
        <v>241</v>
      </c>
      <c r="I99" s="22">
        <f>L99/$L$4</f>
        <v>1.2268331708771546E-4</v>
      </c>
      <c r="J99" s="37">
        <f t="shared" si="9"/>
        <v>237</v>
      </c>
      <c r="K99" s="37" t="s">
        <v>240</v>
      </c>
      <c r="L99" s="37">
        <v>23700000</v>
      </c>
    </row>
    <row r="100" spans="1:12" x14ac:dyDescent="0.25">
      <c r="A100" s="123" t="s">
        <v>30</v>
      </c>
      <c r="B100" s="124"/>
      <c r="C100" s="124"/>
      <c r="D100" s="125"/>
      <c r="E100" s="23" t="s">
        <v>40</v>
      </c>
      <c r="F100" s="24"/>
      <c r="G100" s="26"/>
      <c r="H100" s="27"/>
      <c r="I100" s="28">
        <f>+SUM(I91:I99)</f>
        <v>7.1575621323706397E-3</v>
      </c>
      <c r="J100" s="29">
        <f>+SUM(J91:J99)</f>
        <v>13827</v>
      </c>
      <c r="K100" s="29">
        <f>+SUM(K91:K99)</f>
        <v>62010</v>
      </c>
      <c r="L100" s="29">
        <f>+SUM(L91:L99)</f>
        <v>1382700000</v>
      </c>
    </row>
    <row r="101" spans="1:12" x14ac:dyDescent="0.25">
      <c r="A101" s="3">
        <v>51</v>
      </c>
      <c r="B101" s="3">
        <f>+VLOOKUP($A101,'REGISTRO GENERAL'!$A$4:$AA$201,COLUMN($B$1))</f>
        <v>1045</v>
      </c>
      <c r="C101" s="3">
        <f>+VLOOKUP($A101,'REGISTRO GENERAL'!$A$4:$AA$201,COLUMN($C$1))</f>
        <v>2025</v>
      </c>
      <c r="D101" s="3">
        <f>+VLOOKUP($A101,'REGISTRO GENERAL'!$A$4:$AA$201,COLUMN(D94))</f>
        <v>12</v>
      </c>
      <c r="E101" s="4" t="str">
        <f>+VLOOKUP($A101,'REGISTRO GENERAL'!$A$4:$AA$201,COLUMN($E$1))</f>
        <v>Pecci Miltos, Jorge Daniel</v>
      </c>
      <c r="F101" s="4" t="str">
        <f>+VLOOKUP($A101,'REGISTRO GENERAL'!$A$4:$AA$201,COLUMN('REGISTRO GENERAL'!M74))</f>
        <v>Hno de Beatriz Marta, Juan Bautista y Jorge Daniel Pecci M.</v>
      </c>
      <c r="G101" s="3" t="s">
        <v>10</v>
      </c>
      <c r="H101" s="3"/>
      <c r="I101" s="22">
        <f t="shared" ref="I101:I113" si="17">L101/$L$4</f>
        <v>2.1684405708035448E-3</v>
      </c>
      <c r="J101" s="37">
        <f t="shared" si="9"/>
        <v>4189</v>
      </c>
      <c r="K101" s="37">
        <f>J101*5</f>
        <v>20945</v>
      </c>
      <c r="L101" s="37">
        <f>+'REGISTRO GENERAL'!AB54</f>
        <v>418900000</v>
      </c>
    </row>
    <row r="102" spans="1:12" x14ac:dyDescent="0.25">
      <c r="A102" s="3">
        <v>118</v>
      </c>
      <c r="B102" s="3">
        <f>+VLOOKUP($A102,'REGISTRO GENERAL'!$A$4:$AA$201,COLUMN($B$1))</f>
        <v>1045</v>
      </c>
      <c r="C102" s="3">
        <f>+VLOOKUP($A102,'REGISTRO GENERAL'!$A$4:$AA$201,COLUMN($C$1))</f>
        <v>2025</v>
      </c>
      <c r="D102" s="3">
        <f>+VLOOKUP($A102,'REGISTRO GENERAL'!$A$4:$AA$201,COLUMN(D99))</f>
        <v>6</v>
      </c>
      <c r="E102" s="4" t="str">
        <f>+VLOOKUP($A102,'REGISTRO GENERAL'!$A$4:$AA$201,COLUMN($E$1))</f>
        <v>Pecci Miltos, Jorge Daniel</v>
      </c>
      <c r="F102" s="4">
        <f>+VLOOKUP($A102,'REGISTRO GENERAL'!$A$4:$AA$201,COLUMN('REGISTRO GENERAL'!M75))</f>
        <v>0</v>
      </c>
      <c r="G102" s="3"/>
      <c r="H102" s="3" t="s">
        <v>239</v>
      </c>
      <c r="I102" s="22">
        <f t="shared" si="17"/>
        <v>1.2475392159552501E-4</v>
      </c>
      <c r="J102" s="37">
        <f t="shared" si="9"/>
        <v>241</v>
      </c>
      <c r="K102" s="37" t="s">
        <v>240</v>
      </c>
      <c r="L102" s="37">
        <v>24100000</v>
      </c>
    </row>
    <row r="103" spans="1:12" x14ac:dyDescent="0.25">
      <c r="A103" s="3">
        <v>161</v>
      </c>
      <c r="B103" s="3">
        <f>+VLOOKUP($A103,'REGISTRO GENERAL'!$A$4:$AA$201,COLUMN($B$1))</f>
        <v>1045</v>
      </c>
      <c r="C103" s="3">
        <f>+VLOOKUP($A103,'REGISTRO GENERAL'!$A$4:$AA$201,COLUMN($C$1))</f>
        <v>2024</v>
      </c>
      <c r="D103" s="3">
        <f>+VLOOKUP($A103,'REGISTRO GENERAL'!$A$4:$AA$201,COLUMN(D100))</f>
        <v>6</v>
      </c>
      <c r="E103" s="4" t="str">
        <f>+VLOOKUP($A103,'REGISTRO GENERAL'!$A$4:$AA$201,COLUMN($E$1))</f>
        <v>Pecci Miltos, Jorge Daniel</v>
      </c>
      <c r="F103" s="4">
        <f>+VLOOKUP($A103,'REGISTRO GENERAL'!$A$4:$AA$201,COLUMN('REGISTRO GENERAL'!M76))</f>
        <v>0</v>
      </c>
      <c r="G103" s="3"/>
      <c r="H103" s="3" t="s">
        <v>241</v>
      </c>
      <c r="I103" s="22">
        <f t="shared" si="17"/>
        <v>1.2423627046857262E-4</v>
      </c>
      <c r="J103" s="37">
        <f t="shared" si="9"/>
        <v>240</v>
      </c>
      <c r="K103" s="37" t="s">
        <v>240</v>
      </c>
      <c r="L103" s="37">
        <v>24000000</v>
      </c>
    </row>
    <row r="104" spans="1:12" x14ac:dyDescent="0.25">
      <c r="A104" s="3">
        <v>52</v>
      </c>
      <c r="B104" s="3">
        <f>+VLOOKUP($A104,'REGISTRO GENERAL'!$A$4:$AA$201,COLUMN($B$1))</f>
        <v>1045</v>
      </c>
      <c r="C104" s="3">
        <f>+VLOOKUP($A104,'REGISTRO GENERAL'!$A$4:$AA$201,COLUMN($C$1))</f>
        <v>2025</v>
      </c>
      <c r="D104" s="3">
        <f>+VLOOKUP($A104,'REGISTRO GENERAL'!$A$4:$AA$201,COLUMN(D99))</f>
        <v>12</v>
      </c>
      <c r="E104" s="4" t="str">
        <f>+VLOOKUP($A104,'REGISTRO GENERAL'!$A$4:$AA$201,COLUMN($E$1))</f>
        <v>Pecci Miltos, Juan Baustista</v>
      </c>
      <c r="F104" s="4" t="str">
        <f>+VLOOKUP($A104,'REGISTRO GENERAL'!$A$4:$AA$201,COLUMN('REGISTRO GENERAL'!M75))</f>
        <v>Hna de Antonio Luís, Juan Bautista y Jorge Daniel Pecci M.</v>
      </c>
      <c r="G104" s="3" t="s">
        <v>10</v>
      </c>
      <c r="H104" s="3"/>
      <c r="I104" s="22">
        <f t="shared" si="17"/>
        <v>2.1684405708035448E-3</v>
      </c>
      <c r="J104" s="37">
        <f t="shared" si="9"/>
        <v>4189</v>
      </c>
      <c r="K104" s="37">
        <f t="shared" ref="K104:K113" si="18">J104*5</f>
        <v>20945</v>
      </c>
      <c r="L104" s="37">
        <f>+'REGISTRO GENERAL'!AB55</f>
        <v>418900000</v>
      </c>
    </row>
    <row r="105" spans="1:12" x14ac:dyDescent="0.25">
      <c r="A105" s="3">
        <v>115</v>
      </c>
      <c r="B105" s="3">
        <f>+VLOOKUP($A105,'REGISTRO GENERAL'!$A$4:$AA$201,COLUMN($B$1))</f>
        <v>1045</v>
      </c>
      <c r="C105" s="3">
        <f>+VLOOKUP($A105,'REGISTRO GENERAL'!$A$4:$AA$201,COLUMN($C$1))</f>
        <v>2025</v>
      </c>
      <c r="D105" s="3">
        <f>+VLOOKUP($A105,'REGISTRO GENERAL'!$A$4:$AA$201,COLUMN(D100))</f>
        <v>6</v>
      </c>
      <c r="E105" s="4" t="str">
        <f>+VLOOKUP($A105,'REGISTRO GENERAL'!$A$4:$AA$201,COLUMN($E$1))</f>
        <v>Pecci Miltos, Juan Baustista</v>
      </c>
      <c r="F105" s="4">
        <f>+VLOOKUP($A105,'REGISTRO GENERAL'!$A$4:$AA$201,COLUMN('REGISTRO GENERAL'!M76))</f>
        <v>0</v>
      </c>
      <c r="G105" s="3"/>
      <c r="H105" s="3" t="s">
        <v>239</v>
      </c>
      <c r="I105" s="22">
        <f t="shared" si="17"/>
        <v>2.5882556347619297E-4</v>
      </c>
      <c r="J105" s="37">
        <f t="shared" si="9"/>
        <v>500</v>
      </c>
      <c r="K105" s="37" t="s">
        <v>240</v>
      </c>
      <c r="L105" s="37">
        <v>50000000</v>
      </c>
    </row>
    <row r="106" spans="1:12" x14ac:dyDescent="0.25">
      <c r="A106" s="3">
        <v>158</v>
      </c>
      <c r="B106" s="3">
        <f>+VLOOKUP($A106,'REGISTRO GENERAL'!$A$4:$AA$201,COLUMN($B$1))</f>
        <v>1045</v>
      </c>
      <c r="C106" s="3">
        <f>+VLOOKUP($A106,'REGISTRO GENERAL'!$A$4:$AA$201,COLUMN($C$1))</f>
        <v>2024</v>
      </c>
      <c r="D106" s="3">
        <f>+VLOOKUP($A106,'REGISTRO GENERAL'!$A$4:$AA$201,COLUMN(D101))</f>
        <v>6</v>
      </c>
      <c r="E106" s="4" t="str">
        <f>+VLOOKUP($A106,'REGISTRO GENERAL'!$A$4:$AA$201,COLUMN($E$1))</f>
        <v>Pecci Miltos, Juan Baustista</v>
      </c>
      <c r="F106" s="4">
        <f>+VLOOKUP($A106,'REGISTRO GENERAL'!$A$4:$AA$201,COLUMN('REGISTRO GENERAL'!M77))</f>
        <v>0</v>
      </c>
      <c r="G106" s="3"/>
      <c r="H106" s="3" t="s">
        <v>241</v>
      </c>
      <c r="I106" s="22">
        <f t="shared" si="17"/>
        <v>2.5882556347619297E-4</v>
      </c>
      <c r="J106" s="37">
        <f t="shared" si="9"/>
        <v>500</v>
      </c>
      <c r="K106" s="37" t="s">
        <v>240</v>
      </c>
      <c r="L106" s="37">
        <v>50000000</v>
      </c>
    </row>
    <row r="107" spans="1:12" x14ac:dyDescent="0.25">
      <c r="A107" s="3">
        <v>57</v>
      </c>
      <c r="B107" s="3">
        <f>+VLOOKUP($A107,'REGISTRO GENERAL'!$A$4:$AA$201,COLUMN($B$1))</f>
        <v>1045</v>
      </c>
      <c r="C107" s="3">
        <f>+VLOOKUP($A107,'REGISTRO GENERAL'!$A$4:$AA$201,COLUMN($C$1))</f>
        <v>2025</v>
      </c>
      <c r="D107" s="3">
        <f>+VLOOKUP($A107,'REGISTRO GENERAL'!$A$4:$AA$201,COLUMN(D100))</f>
        <v>12</v>
      </c>
      <c r="E107" s="4" t="str">
        <f>+VLOOKUP($A107,'REGISTRO GENERAL'!$A$4:$AA$201,COLUMN($E$1))</f>
        <v>Pecci de Callizo, Beatriz Marta</v>
      </c>
      <c r="F107" s="4" t="str">
        <f>+VLOOKUP($A107,'REGISTRO GENERAL'!$A$4:$AA$201,COLUMN('REGISTRO GENERAL'!M76))</f>
        <v>Hna de Juan Bautista y Jorge Daniel Pecci M.</v>
      </c>
      <c r="G107" s="3" t="s">
        <v>10</v>
      </c>
      <c r="H107" s="3"/>
      <c r="I107" s="22">
        <f t="shared" si="17"/>
        <v>1.8625087547746845E-3</v>
      </c>
      <c r="J107" s="37">
        <f t="shared" si="9"/>
        <v>3598</v>
      </c>
      <c r="K107" s="37">
        <f t="shared" si="18"/>
        <v>17990</v>
      </c>
      <c r="L107" s="37">
        <f>+'REGISTRO GENERAL'!AB61</f>
        <v>359800000</v>
      </c>
    </row>
    <row r="108" spans="1:12" x14ac:dyDescent="0.25">
      <c r="A108" s="3">
        <v>116</v>
      </c>
      <c r="B108" s="3">
        <f>+VLOOKUP($A108,'REGISTRO GENERAL'!$A$4:$AA$201,COLUMN($B$1))</f>
        <v>1045</v>
      </c>
      <c r="C108" s="3">
        <f>+VLOOKUP($A108,'REGISTRO GENERAL'!$A$4:$AA$201,COLUMN($C$1))</f>
        <v>2025</v>
      </c>
      <c r="D108" s="3">
        <f>+VLOOKUP($A108,'REGISTRO GENERAL'!$A$4:$AA$201,COLUMN(D101))</f>
        <v>6</v>
      </c>
      <c r="E108" s="4" t="str">
        <f>+VLOOKUP($A108,'REGISTRO GENERAL'!$A$4:$AA$201,COLUMN($E$1))</f>
        <v>Pecci de Callizo, Beatriz Marta</v>
      </c>
      <c r="F108" s="4">
        <f>+VLOOKUP($A108,'REGISTRO GENERAL'!$A$4:$AA$201,COLUMN('REGISTRO GENERAL'!M77))</f>
        <v>0</v>
      </c>
      <c r="G108" s="3"/>
      <c r="H108" s="3" t="s">
        <v>239</v>
      </c>
      <c r="I108" s="22">
        <f t="shared" si="17"/>
        <v>2.5882556347619297E-4</v>
      </c>
      <c r="J108" s="37">
        <f t="shared" si="9"/>
        <v>500</v>
      </c>
      <c r="K108" s="37" t="s">
        <v>240</v>
      </c>
      <c r="L108" s="37">
        <v>50000000</v>
      </c>
    </row>
    <row r="109" spans="1:12" x14ac:dyDescent="0.25">
      <c r="A109" s="3">
        <v>159</v>
      </c>
      <c r="B109" s="3">
        <f>+VLOOKUP($A109,'REGISTRO GENERAL'!$A$4:$AA$201,COLUMN($B$1))</f>
        <v>1045</v>
      </c>
      <c r="C109" s="3">
        <f>+VLOOKUP($A109,'REGISTRO GENERAL'!$A$4:$AA$201,COLUMN($C$1))</f>
        <v>2024</v>
      </c>
      <c r="D109" s="3">
        <f>+VLOOKUP($A109,'REGISTRO GENERAL'!$A$4:$AA$201,COLUMN(D102))</f>
        <v>6</v>
      </c>
      <c r="E109" s="4" t="str">
        <f>+VLOOKUP($A109,'REGISTRO GENERAL'!$A$4:$AA$201,COLUMN($E$1))</f>
        <v>Pecci de Callizo, Beatriz Marta</v>
      </c>
      <c r="F109" s="4">
        <f>+VLOOKUP($A109,'REGISTRO GENERAL'!$A$4:$AA$201,COLUMN('REGISTRO GENERAL'!M78))</f>
        <v>0</v>
      </c>
      <c r="G109" s="3"/>
      <c r="H109" s="3" t="s">
        <v>241</v>
      </c>
      <c r="I109" s="22">
        <f t="shared" si="17"/>
        <v>2.5882556347619297E-4</v>
      </c>
      <c r="J109" s="37">
        <f t="shared" si="9"/>
        <v>500</v>
      </c>
      <c r="K109" s="37" t="s">
        <v>240</v>
      </c>
      <c r="L109" s="37">
        <v>50000000</v>
      </c>
    </row>
    <row r="110" spans="1:12" x14ac:dyDescent="0.25">
      <c r="A110" s="3">
        <v>73</v>
      </c>
      <c r="B110" s="3">
        <f>+VLOOKUP($A110,'REGISTRO GENERAL'!$A$4:$AA$201,COLUMN($B$1))</f>
        <v>1045</v>
      </c>
      <c r="C110" s="3">
        <f>+VLOOKUP($A110,'REGISTRO GENERAL'!$A$4:$AA$201,COLUMN($C$1))</f>
        <v>2025</v>
      </c>
      <c r="D110" s="3">
        <f>+VLOOKUP($A110,'REGISTRO GENERAL'!$A$4:$AA$201,COLUMN(D101))</f>
        <v>12</v>
      </c>
      <c r="E110" s="4" t="str">
        <f>+VLOOKUP($A110,'REGISTRO GENERAL'!$A$4:$AA$201,COLUMN($E$1))</f>
        <v>Angulo vda. de Pecci, María Leonor</v>
      </c>
      <c r="F110" s="4" t="str">
        <f>+VLOOKUP($A110,'REGISTRO GENERAL'!$A$4:$AA$201,COLUMN('REGISTRO GENERAL'!M77))</f>
        <v>Cuñada de los Hermanos Pecci</v>
      </c>
      <c r="G110" s="3" t="s">
        <v>10</v>
      </c>
      <c r="H110" s="3"/>
      <c r="I110" s="22">
        <f t="shared" si="17"/>
        <v>9.2038370372134214E-4</v>
      </c>
      <c r="J110" s="37">
        <f t="shared" si="9"/>
        <v>1778</v>
      </c>
      <c r="K110" s="37">
        <f t="shared" si="18"/>
        <v>8890</v>
      </c>
      <c r="L110" s="37">
        <f>+'REGISTRO GENERAL'!AB76</f>
        <v>177800000</v>
      </c>
    </row>
    <row r="111" spans="1:12" x14ac:dyDescent="0.25">
      <c r="A111" s="3">
        <v>97</v>
      </c>
      <c r="B111" s="3">
        <f>+VLOOKUP($A111,'REGISTRO GENERAL'!$A$4:$AA$201,COLUMN($B$1))</f>
        <v>1045</v>
      </c>
      <c r="C111" s="3">
        <f>+VLOOKUP($A111,'REGISTRO GENERAL'!$A$4:$AA$201,COLUMN($C$1))</f>
        <v>2025</v>
      </c>
      <c r="D111" s="3">
        <f>+VLOOKUP($A111,'REGISTRO GENERAL'!$A$4:$AA$201,COLUMN(D104))</f>
        <v>12</v>
      </c>
      <c r="E111" s="4" t="str">
        <f>+VLOOKUP($A111,'REGISTRO GENERAL'!$A$4:$AA$201,COLUMN($E$1))</f>
        <v>Pecci Angulo, Antonio Luis Felix</v>
      </c>
      <c r="F111" s="4" t="str">
        <f>+VLOOKUP($A111,'REGISTRO GENERAL'!$A$4:$AA$201,COLUMN('REGISTRO GENERAL'!M76))</f>
        <v>Hija de Leonor Angulo</v>
      </c>
      <c r="G111" s="3" t="s">
        <v>10</v>
      </c>
      <c r="H111" s="3"/>
      <c r="I111" s="22">
        <f t="shared" si="17"/>
        <v>3.0748476940971727E-4</v>
      </c>
      <c r="J111" s="37">
        <f t="shared" si="9"/>
        <v>594</v>
      </c>
      <c r="K111" s="37">
        <f t="shared" si="18"/>
        <v>2970</v>
      </c>
      <c r="L111" s="37">
        <f>+'REGISTRO GENERAL'!AB100</f>
        <v>59400000</v>
      </c>
    </row>
    <row r="112" spans="1:12" x14ac:dyDescent="0.25">
      <c r="A112" s="3">
        <v>98</v>
      </c>
      <c r="B112" s="3">
        <f>+VLOOKUP($A112,'REGISTRO GENERAL'!$A$4:$AA$201,COLUMN($B$1))</f>
        <v>1045</v>
      </c>
      <c r="C112" s="3">
        <f>+VLOOKUP($A112,'REGISTRO GENERAL'!$A$4:$AA$201,COLUMN($C$1))</f>
        <v>2025</v>
      </c>
      <c r="D112" s="3">
        <f>+VLOOKUP($A112,'REGISTRO GENERAL'!$A$4:$AA$201,COLUMN(D107))</f>
        <v>12</v>
      </c>
      <c r="E112" s="4" t="str">
        <f>+VLOOKUP($A112,'REGISTRO GENERAL'!$A$4:$AA$201,COLUMN($E$1))</f>
        <v xml:space="preserve">Pecci Angulo, Karina Beatriz MarÍa </v>
      </c>
      <c r="F112" s="4" t="str">
        <f>+VLOOKUP($A112,'REGISTRO GENERAL'!$A$4:$AA$201,COLUMN('REGISTRO GENERAL'!M79))</f>
        <v>Hija de Leonor Angulo</v>
      </c>
      <c r="G112" s="3" t="s">
        <v>10</v>
      </c>
      <c r="H112" s="3"/>
      <c r="I112" s="22">
        <f t="shared" si="17"/>
        <v>3.0748476940971727E-4</v>
      </c>
      <c r="J112" s="37">
        <f t="shared" si="9"/>
        <v>594</v>
      </c>
      <c r="K112" s="37">
        <f t="shared" si="18"/>
        <v>2970</v>
      </c>
      <c r="L112" s="37">
        <f>+'REGISTRO GENERAL'!AB101</f>
        <v>59400000</v>
      </c>
    </row>
    <row r="113" spans="1:14" x14ac:dyDescent="0.25">
      <c r="A113" s="3">
        <v>99</v>
      </c>
      <c r="B113" s="3">
        <f>+VLOOKUP($A113,'REGISTRO GENERAL'!$A$4:$AA$201,COLUMN($B$1))</f>
        <v>1045</v>
      </c>
      <c r="C113" s="3">
        <f>+VLOOKUP($A113,'REGISTRO GENERAL'!$A$4:$AA$201,COLUMN($C$1))</f>
        <v>2025</v>
      </c>
      <c r="D113" s="3">
        <f>+VLOOKUP($A113,'REGISTRO GENERAL'!$A$4:$AA$201,COLUMN(D110))</f>
        <v>12</v>
      </c>
      <c r="E113" s="4" t="str">
        <f>+VLOOKUP($A113,'REGISTRO GENERAL'!$A$4:$AA$201,COLUMN($E$1))</f>
        <v>Pecci Angulo, Veronica Patricia María</v>
      </c>
      <c r="F113" s="4" t="str">
        <f>+VLOOKUP($A113,'REGISTRO GENERAL'!$A$4:$AA$201,COLUMN('REGISTRO GENERAL'!M80))</f>
        <v>Hija de Leonor Angulo</v>
      </c>
      <c r="G113" s="3" t="s">
        <v>10</v>
      </c>
      <c r="H113" s="3"/>
      <c r="I113" s="22">
        <f t="shared" si="17"/>
        <v>2.2466058909733548E-4</v>
      </c>
      <c r="J113" s="37">
        <f t="shared" si="9"/>
        <v>434</v>
      </c>
      <c r="K113" s="37">
        <f t="shared" si="18"/>
        <v>2170</v>
      </c>
      <c r="L113" s="37">
        <f>+'REGISTRO GENERAL'!AB102</f>
        <v>43400000</v>
      </c>
    </row>
    <row r="114" spans="1:14" x14ac:dyDescent="0.25">
      <c r="A114" s="123" t="s">
        <v>30</v>
      </c>
      <c r="B114" s="124"/>
      <c r="C114" s="124"/>
      <c r="D114" s="125"/>
      <c r="E114" s="23" t="s">
        <v>41</v>
      </c>
      <c r="F114" s="24"/>
      <c r="G114" s="26"/>
      <c r="H114" s="27"/>
      <c r="I114" s="28">
        <f>+SUM(I101:I113)</f>
        <v>9.2436961739887531E-3</v>
      </c>
      <c r="J114" s="29">
        <f>+SUM(J101:J113)</f>
        <v>17857</v>
      </c>
      <c r="K114" s="29">
        <f>+SUM(K101:K113)</f>
        <v>76880</v>
      </c>
      <c r="L114" s="29">
        <f>+SUM(L101:L113)</f>
        <v>1785700000</v>
      </c>
    </row>
    <row r="115" spans="1:14" x14ac:dyDescent="0.25">
      <c r="A115" s="3">
        <v>34</v>
      </c>
      <c r="B115" s="3">
        <f>+VLOOKUP($A115,'REGISTRO GENERAL'!$A$4:$AA$201,COLUMN($B$1))</f>
        <v>1045</v>
      </c>
      <c r="C115" s="3">
        <f>+VLOOKUP($A115,'REGISTRO GENERAL'!$A$4:$AA$201,COLUMN($C$1))</f>
        <v>2025</v>
      </c>
      <c r="D115" s="3">
        <f>+VLOOKUP($A115,'REGISTRO GENERAL'!$A$4:$AA$201,COLUMN(D132))</f>
        <v>12</v>
      </c>
      <c r="E115" s="4" t="str">
        <f>+VLOOKUP($A115,'REGISTRO GENERAL'!$A$4:$AA$201,COLUMN($E$1))</f>
        <v>Aponte de Oxilia, Wanda Lis</v>
      </c>
      <c r="F115" s="4" t="str">
        <f>+VLOOKUP($A115,'REGISTRO GENERAL'!$A$4:$AA$201,COLUMN('REGISTRO GENERAL'!M82))</f>
        <v>Madre de Sabrina y Martín Oxilia Aponte</v>
      </c>
      <c r="G115" s="3" t="s">
        <v>10</v>
      </c>
      <c r="H115" s="3"/>
      <c r="I115" s="22">
        <f>L115/$L$4</f>
        <v>3.9652076324552766E-3</v>
      </c>
      <c r="J115" s="37">
        <f t="shared" si="9"/>
        <v>7660</v>
      </c>
      <c r="K115" s="37">
        <f>J115*5</f>
        <v>38300</v>
      </c>
      <c r="L115" s="37">
        <f>+'REGISTRO GENERAL'!AB37</f>
        <v>766000000</v>
      </c>
    </row>
    <row r="116" spans="1:14" s="2" customFormat="1" x14ac:dyDescent="0.25">
      <c r="A116" s="3">
        <v>87</v>
      </c>
      <c r="B116" s="3">
        <f>+VLOOKUP($A116,'REGISTRO GENERAL'!$A$4:$AA$201,COLUMN($B$1))</f>
        <v>1045</v>
      </c>
      <c r="C116" s="3">
        <f>+VLOOKUP($A116,'REGISTRO GENERAL'!$A$4:$AA$201,COLUMN($C$1))</f>
        <v>2025</v>
      </c>
      <c r="D116" s="3">
        <f>+VLOOKUP($A116,'REGISTRO GENERAL'!$A$4:$AA$201,COLUMN(D113))</f>
        <v>12</v>
      </c>
      <c r="E116" s="4" t="str">
        <f>+VLOOKUP($A116,'REGISTRO GENERAL'!$A$4:$AA$201,COLUMN($E$1))</f>
        <v>Oxilia Aponte, Martín Enrique</v>
      </c>
      <c r="F116" s="4" t="str">
        <f>+VLOOKUP($A116,'REGISTRO GENERAL'!$A$4:$AA$201,COLUMN('REGISTRO GENERAL'!M83))</f>
        <v xml:space="preserve">Hijos de Wanda Aponte </v>
      </c>
      <c r="G116" s="3" t="s">
        <v>10</v>
      </c>
      <c r="H116" s="3"/>
      <c r="I116" s="22">
        <f>L116/$L$4</f>
        <v>4.3948580678257579E-4</v>
      </c>
      <c r="J116" s="37">
        <f t="shared" si="9"/>
        <v>849.00000000000034</v>
      </c>
      <c r="K116" s="37">
        <f t="shared" ref="K116:K117" si="19">J116*5</f>
        <v>4245.0000000000018</v>
      </c>
      <c r="L116" s="37">
        <f>+'REGISTRO GENERAL'!AB90</f>
        <v>84900000.00000003</v>
      </c>
      <c r="M116" s="39"/>
      <c r="N116" s="34"/>
    </row>
    <row r="117" spans="1:14" x14ac:dyDescent="0.25">
      <c r="A117" s="3">
        <v>101</v>
      </c>
      <c r="B117" s="3">
        <f>+VLOOKUP($A117,'REGISTRO GENERAL'!$A$4:$AA$201,COLUMN($B$1))</f>
        <v>1045</v>
      </c>
      <c r="C117" s="3">
        <f>+VLOOKUP($A117,'REGISTRO GENERAL'!$A$4:$AA$201,COLUMN($C$1))</f>
        <v>2025</v>
      </c>
      <c r="D117" s="3">
        <f>+VLOOKUP($A117,'REGISTRO GENERAL'!$A$4:$AA$201,COLUMN(D114))</f>
        <v>12</v>
      </c>
      <c r="E117" s="4" t="str">
        <f>+VLOOKUP($A117,'REGISTRO GENERAL'!$A$4:$AA$201,COLUMN($E$1))</f>
        <v>Oxilia Aponte, Sabrina María</v>
      </c>
      <c r="F117" s="4" t="str">
        <f>+VLOOKUP($A117,'REGISTRO GENERAL'!$A$4:$AA$201,COLUMN('REGISTRO GENERAL'!M84))</f>
        <v xml:space="preserve">Hija de Wanda Aponte </v>
      </c>
      <c r="G117" s="3" t="s">
        <v>10</v>
      </c>
      <c r="H117" s="3"/>
      <c r="I117" s="22">
        <f>L117/$L$4</f>
        <v>1.4753057118143E-4</v>
      </c>
      <c r="J117" s="37">
        <f t="shared" si="9"/>
        <v>285</v>
      </c>
      <c r="K117" s="37">
        <f t="shared" si="19"/>
        <v>1425</v>
      </c>
      <c r="L117" s="37">
        <f>+'REGISTRO GENERAL'!AB104</f>
        <v>28500000</v>
      </c>
    </row>
    <row r="118" spans="1:14" x14ac:dyDescent="0.25">
      <c r="A118" s="123" t="s">
        <v>30</v>
      </c>
      <c r="B118" s="124"/>
      <c r="C118" s="124"/>
      <c r="D118" s="124"/>
      <c r="E118" s="38" t="s">
        <v>108</v>
      </c>
      <c r="F118" s="23"/>
      <c r="G118" s="25"/>
      <c r="H118" s="26"/>
      <c r="I118" s="32">
        <f>SUM(I115:I117)</f>
        <v>4.5522240104192823E-3</v>
      </c>
      <c r="J118" s="29">
        <f>SUM(J115:J117)</f>
        <v>8794</v>
      </c>
      <c r="K118" s="29">
        <f>SUM(K115:K117)</f>
        <v>43970</v>
      </c>
      <c r="L118" s="29">
        <f>SUM(L115:L117)</f>
        <v>879400000</v>
      </c>
    </row>
    <row r="119" spans="1:14" x14ac:dyDescent="0.25">
      <c r="A119" s="3">
        <v>92</v>
      </c>
      <c r="B119" s="3">
        <f>+VLOOKUP($A119,'REGISTRO GENERAL'!$A$4:$AA$201,COLUMN($B$1))</f>
        <v>1045</v>
      </c>
      <c r="C119" s="3">
        <f>+VLOOKUP($A119,'REGISTRO GENERAL'!$A$4:$AA$201,COLUMN($C$1))</f>
        <v>2025</v>
      </c>
      <c r="D119" s="3">
        <f>+VLOOKUP($A119,'REGISTRO GENERAL'!$A$4:$AA$201,COLUMN(D116))</f>
        <v>12</v>
      </c>
      <c r="E119" s="4" t="str">
        <f>+VLOOKUP($A119,'REGISTRO GENERAL'!$A$4:$AA$201,COLUMN($E$1))</f>
        <v>Léoz Insfrán, Óscar Eusebio</v>
      </c>
      <c r="F119" s="4" t="str">
        <f>+VLOOKUP($A119,'REGISTRO GENERAL'!$A$4:$AA$201,COLUMN('REGISTRO GENERAL'!M85))</f>
        <v>Hermano de Asunción,Verónica y María</v>
      </c>
      <c r="G119" s="3" t="s">
        <v>10</v>
      </c>
      <c r="H119" s="3"/>
      <c r="I119" s="22">
        <f>L119/$L$4</f>
        <v>3.3336732575733652E-4</v>
      </c>
      <c r="J119" s="37">
        <f>L119/100000</f>
        <v>644</v>
      </c>
      <c r="K119" s="37">
        <f>J119*5</f>
        <v>3220</v>
      </c>
      <c r="L119" s="37">
        <f>+'REGISTRO GENERAL'!AB95</f>
        <v>64400000</v>
      </c>
    </row>
    <row r="120" spans="1:14" x14ac:dyDescent="0.25">
      <c r="A120" s="3">
        <v>94</v>
      </c>
      <c r="B120" s="3">
        <f>+VLOOKUP($A120,'REGISTRO GENERAL'!$A$4:$AA$201,COLUMN($B$1))</f>
        <v>1045</v>
      </c>
      <c r="C120" s="3">
        <f>+VLOOKUP($A120,'REGISTRO GENERAL'!$A$4:$AA$201,COLUMN($C$1))</f>
        <v>2025</v>
      </c>
      <c r="D120" s="3">
        <f>+VLOOKUP($A120,'REGISTRO GENERAL'!$A$4:$AA$201,COLUMN(D117))</f>
        <v>12</v>
      </c>
      <c r="E120" s="4" t="str">
        <f>+VLOOKUP($A120,'REGISTRO GENERAL'!$A$4:$AA$201,COLUMN($E$1))</f>
        <v xml:space="preserve">Léoz de Chamorro, María Elina </v>
      </c>
      <c r="F120" s="4" t="str">
        <f>+VLOOKUP($A120,'REGISTRO GENERAL'!$A$4:$AA$201,COLUMN('REGISTRO GENERAL'!M87))</f>
        <v>Hermana de Asunción, Verónica y Óscar</v>
      </c>
      <c r="G120" s="3" t="s">
        <v>10</v>
      </c>
      <c r="H120" s="3"/>
      <c r="I120" s="22">
        <f>L120/$L$4</f>
        <v>3.1680248969486022E-4</v>
      </c>
      <c r="J120" s="37">
        <f t="shared" ref="J120:J122" si="20">L120/100000</f>
        <v>612</v>
      </c>
      <c r="K120" s="37">
        <f t="shared" ref="K120:K122" si="21">J120*5</f>
        <v>3060</v>
      </c>
      <c r="L120" s="37">
        <f>+'REGISTRO GENERAL'!AB97</f>
        <v>61200000</v>
      </c>
    </row>
    <row r="121" spans="1:14" s="2" customFormat="1" x14ac:dyDescent="0.25">
      <c r="A121" s="3">
        <v>95</v>
      </c>
      <c r="B121" s="3">
        <f>+VLOOKUP($A121,'REGISTRO GENERAL'!$A$4:$AA$201,COLUMN($B$1))</f>
        <v>1045</v>
      </c>
      <c r="C121" s="3">
        <f>+VLOOKUP($A121,'REGISTRO GENERAL'!$A$4:$AA$201,COLUMN($C$1))</f>
        <v>2025</v>
      </c>
      <c r="D121" s="3">
        <f>+VLOOKUP($A121,'REGISTRO GENERAL'!$A$4:$AA$201,COLUMN(D118))</f>
        <v>12</v>
      </c>
      <c r="E121" s="4" t="str">
        <f>+VLOOKUP($A121,'REGISTRO GENERAL'!$A$4:$AA$201,COLUMN($E$1))</f>
        <v>Léoz Insfrán, María Asunción</v>
      </c>
      <c r="F121" s="4" t="str">
        <f>+VLOOKUP($A121,'REGISTRO GENERAL'!$A$4:$AA$201,COLUMN('REGISTRO GENERAL'!M88))</f>
        <v>Hermana de María, Verónica y Óscar</v>
      </c>
      <c r="G121" s="3" t="s">
        <v>10</v>
      </c>
      <c r="H121" s="3"/>
      <c r="I121" s="22">
        <f>L121/$L$4</f>
        <v>3.1680248969486022E-4</v>
      </c>
      <c r="J121" s="37">
        <f t="shared" si="20"/>
        <v>612</v>
      </c>
      <c r="K121" s="37">
        <f t="shared" si="21"/>
        <v>3060</v>
      </c>
      <c r="L121" s="37">
        <f>+'REGISTRO GENERAL'!AB98</f>
        <v>61200000</v>
      </c>
      <c r="M121" s="39"/>
      <c r="N121" s="34"/>
    </row>
    <row r="122" spans="1:14" x14ac:dyDescent="0.25">
      <c r="A122" s="3">
        <v>96</v>
      </c>
      <c r="B122" s="3">
        <f>+VLOOKUP($A122,'REGISTRO GENERAL'!$A$4:$AA$201,COLUMN($B$1))</f>
        <v>1045</v>
      </c>
      <c r="C122" s="3">
        <f>+VLOOKUP($A122,'REGISTRO GENERAL'!$A$4:$AA$201,COLUMN($C$1))</f>
        <v>2025</v>
      </c>
      <c r="D122" s="3">
        <f>+VLOOKUP($A122,'REGISTRO GENERAL'!$A$4:$AA$201,COLUMN(D119))</f>
        <v>12</v>
      </c>
      <c r="E122" s="4" t="str">
        <f>+VLOOKUP($A122,'REGISTRO GENERAL'!$A$4:$AA$201,COLUMN($E$1))</f>
        <v>Léoz de Lezcano, Verónica Rosa</v>
      </c>
      <c r="F122" s="4" t="str">
        <f>+VLOOKUP($A122,'REGISTRO GENERAL'!$A$4:$AA$201,COLUMN('REGISTRO GENERAL'!M89))</f>
        <v>Hermana de Asunción, María y Óscar</v>
      </c>
      <c r="G122" s="3" t="s">
        <v>10</v>
      </c>
      <c r="H122" s="3"/>
      <c r="I122" s="22">
        <f>L122/$L$4</f>
        <v>3.0800242053666965E-4</v>
      </c>
      <c r="J122" s="37">
        <f t="shared" si="20"/>
        <v>595</v>
      </c>
      <c r="K122" s="37">
        <f t="shared" si="21"/>
        <v>2975</v>
      </c>
      <c r="L122" s="37">
        <f>+'REGISTRO GENERAL'!AB99</f>
        <v>59500000</v>
      </c>
    </row>
    <row r="123" spans="1:14" x14ac:dyDescent="0.25">
      <c r="A123" s="123" t="s">
        <v>30</v>
      </c>
      <c r="B123" s="124"/>
      <c r="C123" s="124"/>
      <c r="D123" s="125"/>
      <c r="E123" s="23" t="s">
        <v>115</v>
      </c>
      <c r="F123" s="24"/>
      <c r="G123" s="26"/>
      <c r="H123" s="27"/>
      <c r="I123" s="28">
        <f>+SUM(I119:I122)</f>
        <v>1.2749747256837266E-3</v>
      </c>
      <c r="J123" s="29">
        <f>+SUM(J119:J122)</f>
        <v>2463</v>
      </c>
      <c r="K123" s="29">
        <f>+SUM(K119:K122)</f>
        <v>12315</v>
      </c>
      <c r="L123" s="29">
        <f>+SUM(L119:L122)</f>
        <v>246300000</v>
      </c>
    </row>
    <row r="124" spans="1:14" x14ac:dyDescent="0.25">
      <c r="A124" s="3">
        <v>17</v>
      </c>
      <c r="B124" s="3">
        <f>+VLOOKUP($A124,'REGISTRO GENERAL'!$A$4:$AA$201,COLUMN($B$1))</f>
        <v>1045</v>
      </c>
      <c r="C124" s="3">
        <f>+VLOOKUP($A124,'REGISTRO GENERAL'!$A$4:$AA$201,COLUMN($C$1))</f>
        <v>2025</v>
      </c>
      <c r="D124" s="3">
        <f>+VLOOKUP($A124,'REGISTRO GENERAL'!$A$4:$AA$201,COLUMN(D121))</f>
        <v>12</v>
      </c>
      <c r="E124" s="4" t="str">
        <f>+VLOOKUP($A124,'REGISTRO GENERAL'!$A$4:$AA$201,COLUMN($E$1))</f>
        <v xml:space="preserve">Levy Leopold, Ricardo Natalio Fred </v>
      </c>
      <c r="F124" s="4" t="str">
        <f>+VLOOKUP($A124,'REGISTRO GENERAL'!$A$4:$AA$201,COLUMN('REGISTRO GENERAL'!M91))</f>
        <v>Padre de Julio Levy y Marcos Levy</v>
      </c>
      <c r="G124" s="3" t="s">
        <v>10</v>
      </c>
      <c r="H124" s="3"/>
      <c r="I124" s="22">
        <f>L124/$L$4</f>
        <v>9.6976762123259976E-3</v>
      </c>
      <c r="J124" s="37">
        <f>L124/100000</f>
        <v>18734</v>
      </c>
      <c r="K124" s="37">
        <f>J124*5</f>
        <v>93670</v>
      </c>
      <c r="L124" s="37">
        <f>+'REGISTRO GENERAL'!AB20</f>
        <v>1873400000</v>
      </c>
    </row>
    <row r="125" spans="1:14" s="2" customFormat="1" x14ac:dyDescent="0.25">
      <c r="A125" s="3">
        <v>66</v>
      </c>
      <c r="B125" s="3">
        <f>+VLOOKUP($A125,'REGISTRO GENERAL'!$A$4:$AA$201,COLUMN($B$1))</f>
        <v>1045</v>
      </c>
      <c r="C125" s="3">
        <f>+VLOOKUP($A125,'REGISTRO GENERAL'!$A$4:$AA$201,COLUMN($C$1))</f>
        <v>2025</v>
      </c>
      <c r="D125" s="3">
        <f>+VLOOKUP($A125,'REGISTRO GENERAL'!$A$4:$AA$201,COLUMN(D122))</f>
        <v>12</v>
      </c>
      <c r="E125" s="4" t="str">
        <f>+VLOOKUP($A125,'REGISTRO GENERAL'!$A$4:$AA$201,COLUMN($E$1))</f>
        <v>Levy Beczko, Marcos Darío</v>
      </c>
      <c r="F125" s="4" t="str">
        <f>+VLOOKUP($A125,'REGISTRO GENERAL'!$A$4:$AA$201,COLUMN('REGISTRO GENERAL'!M92))</f>
        <v>Hijo de Ricardo Levy</v>
      </c>
      <c r="G125" s="3" t="s">
        <v>10</v>
      </c>
      <c r="H125" s="3"/>
      <c r="I125" s="22">
        <f>L125/$L$4</f>
        <v>1.3873050202323942E-3</v>
      </c>
      <c r="J125" s="37">
        <f t="shared" ref="J125:J129" si="22">L125/100000</f>
        <v>2680</v>
      </c>
      <c r="K125" s="37">
        <f t="shared" ref="K125:K126" si="23">J125*5</f>
        <v>13400</v>
      </c>
      <c r="L125" s="37">
        <f>+'REGISTRO GENERAL'!AB69</f>
        <v>268000000</v>
      </c>
      <c r="M125" s="39"/>
      <c r="N125" s="34"/>
    </row>
    <row r="126" spans="1:14" x14ac:dyDescent="0.25">
      <c r="A126" s="3">
        <v>68</v>
      </c>
      <c r="B126" s="3">
        <f>+VLOOKUP($A126,'REGISTRO GENERAL'!$A$4:$AA$201,COLUMN($B$1))</f>
        <v>1045</v>
      </c>
      <c r="C126" s="3">
        <f>+VLOOKUP($A126,'REGISTRO GENERAL'!$A$4:$AA$201,COLUMN($C$1))</f>
        <v>2025</v>
      </c>
      <c r="D126" s="3">
        <f>+VLOOKUP($A126,'REGISTRO GENERAL'!$A$4:$AA$201,COLUMN(D123))</f>
        <v>12</v>
      </c>
      <c r="E126" s="4" t="str">
        <f>+VLOOKUP($A126,'REGISTRO GENERAL'!$A$4:$AA$201,COLUMN($E$1))</f>
        <v>Levy Beczko, Julio Manuel</v>
      </c>
      <c r="F126" s="4" t="str">
        <f>+VLOOKUP($A126,'REGISTRO GENERAL'!$A$4:$AA$201,COLUMN('REGISTRO GENERAL'!M93))</f>
        <v>Hijo de Ricardo Levy</v>
      </c>
      <c r="G126" s="3" t="s">
        <v>10</v>
      </c>
      <c r="H126" s="3"/>
      <c r="I126" s="22">
        <f>L126/$L$4</f>
        <v>1.1497031529612491E-3</v>
      </c>
      <c r="J126" s="37">
        <f t="shared" si="22"/>
        <v>2221</v>
      </c>
      <c r="K126" s="37">
        <f t="shared" si="23"/>
        <v>11105</v>
      </c>
      <c r="L126" s="37">
        <f>+'REGISTRO GENERAL'!AB71</f>
        <v>222100000</v>
      </c>
    </row>
    <row r="127" spans="1:14" x14ac:dyDescent="0.25">
      <c r="A127" s="123" t="s">
        <v>30</v>
      </c>
      <c r="B127" s="124"/>
      <c r="C127" s="124"/>
      <c r="D127" s="124"/>
      <c r="E127" s="38" t="s">
        <v>134</v>
      </c>
      <c r="F127" s="23"/>
      <c r="G127" s="25"/>
      <c r="H127" s="26"/>
      <c r="I127" s="32">
        <f>SUM(I124:I126)</f>
        <v>1.2234684385519641E-2</v>
      </c>
      <c r="J127" s="29">
        <f>SUM(J124:J126)</f>
        <v>23635</v>
      </c>
      <c r="K127" s="29">
        <f>SUM(K124:K126)</f>
        <v>118175</v>
      </c>
      <c r="L127" s="29">
        <f>SUM(L124:L126)</f>
        <v>2363500000</v>
      </c>
    </row>
    <row r="128" spans="1:14" x14ac:dyDescent="0.25">
      <c r="A128" s="3">
        <v>25</v>
      </c>
      <c r="B128" s="3">
        <f>+VLOOKUP($A128,'REGISTRO GENERAL'!$A$4:$AA$201,COLUMN($B$1))</f>
        <v>1045</v>
      </c>
      <c r="C128" s="3">
        <f>+VLOOKUP($A128,'REGISTRO GENERAL'!$A$4:$AA$201,COLUMN($C$1))</f>
        <v>2025</v>
      </c>
      <c r="D128" s="3">
        <f>+VLOOKUP($A128,'REGISTRO GENERAL'!$A$4:$AA$201,COLUMN(D62))</f>
        <v>12</v>
      </c>
      <c r="E128" s="4" t="str">
        <f>+VLOOKUP($A128,'REGISTRO GENERAL'!$A$4:$AA$201,COLUMN($E$1))</f>
        <v>Kemper Perera, Luis Nessim</v>
      </c>
      <c r="F128" s="4" t="str">
        <f>+VLOOKUP($A128,'REGISTRO GENERAL'!$A$4:$AA$201,COLUMN('REGISTRO GENERAL'!M98))</f>
        <v>Hno. De Eduardo Kemper</v>
      </c>
      <c r="G128" s="3" t="s">
        <v>10</v>
      </c>
      <c r="H128" s="3"/>
      <c r="I128" s="22">
        <f>L128/$L$4</f>
        <v>6.1641896197490113E-3</v>
      </c>
      <c r="J128" s="37">
        <f t="shared" si="22"/>
        <v>11908</v>
      </c>
      <c r="K128" s="37">
        <f>+'REGISTRO GENERAL'!Z27</f>
        <v>68225</v>
      </c>
      <c r="L128" s="37">
        <f>+'REGISTRO GENERAL'!AB28</f>
        <v>1190800000</v>
      </c>
    </row>
    <row r="129" spans="1:12" x14ac:dyDescent="0.25">
      <c r="A129" s="3">
        <v>26</v>
      </c>
      <c r="B129" s="3">
        <f>+VLOOKUP($A129,'REGISTRO GENERAL'!$A$4:$AA$201,COLUMN($B$1))</f>
        <v>1045</v>
      </c>
      <c r="C129" s="3">
        <f>+VLOOKUP($A129,'REGISTRO GENERAL'!$A$4:$AA$201,COLUMN($C$1))</f>
        <v>2025</v>
      </c>
      <c r="D129" s="3">
        <f>+VLOOKUP($A129,'REGISTRO GENERAL'!$A$4:$AA$201,COLUMN(D15))</f>
        <v>12</v>
      </c>
      <c r="E129" s="4" t="str">
        <f>+VLOOKUP($A129,'REGISTRO GENERAL'!$A$4:$AA$201,COLUMN($E$1))</f>
        <v>Kemper Perera, Eduardo Kurt</v>
      </c>
      <c r="F129" s="4" t="str">
        <f>+VLOOKUP($A129,'REGISTRO GENERAL'!$A$4:$AA$201,COLUMN('REGISTRO GENERAL'!M99))</f>
        <v>Hno. De Luis Kemper</v>
      </c>
      <c r="G129" s="3" t="s">
        <v>10</v>
      </c>
      <c r="H129" s="3"/>
      <c r="I129" s="22">
        <f>L129/$L$4</f>
        <v>5.8101162489135796E-3</v>
      </c>
      <c r="J129" s="37">
        <f t="shared" si="22"/>
        <v>11224</v>
      </c>
      <c r="K129" s="37">
        <f>+'REGISTRO GENERAL'!Z28</f>
        <v>59540</v>
      </c>
      <c r="L129" s="37">
        <f>+'REGISTRO GENERAL'!AB29</f>
        <v>1122400000</v>
      </c>
    </row>
    <row r="130" spans="1:12" x14ac:dyDescent="0.25">
      <c r="A130" s="123" t="s">
        <v>30</v>
      </c>
      <c r="B130" s="124"/>
      <c r="C130" s="124"/>
      <c r="D130" s="125"/>
      <c r="E130" s="23" t="s">
        <v>148</v>
      </c>
      <c r="F130" s="24"/>
      <c r="G130" s="26"/>
      <c r="H130" s="27"/>
      <c r="I130" s="64">
        <f>SUM(I128:I129)</f>
        <v>1.1974305868662591E-2</v>
      </c>
      <c r="J130" s="29">
        <f>SUM(J128:J129)</f>
        <v>23132</v>
      </c>
      <c r="K130" s="29">
        <f>SUM(K128:K129)</f>
        <v>127765</v>
      </c>
      <c r="L130" s="29">
        <f>+SUM(L128:L129)</f>
        <v>2313200000</v>
      </c>
    </row>
    <row r="131" spans="1:12" x14ac:dyDescent="0.25">
      <c r="A131" s="3">
        <v>5</v>
      </c>
      <c r="B131" s="3">
        <f>+VLOOKUP($A131,'[1]REGISTRO GENERAL'!$A$4:$AA$307,COLUMN($B$1))</f>
        <v>1045</v>
      </c>
      <c r="C131" s="3">
        <f>+VLOOKUP($A131,'[1]REGISTRO GENERAL'!$A$4:$AA$307,COLUMN($C$1))</f>
        <v>2024</v>
      </c>
      <c r="D131" s="3">
        <f>+VLOOKUP($A131,'[1]REGISTRO GENERAL'!$A$4:$AA$307,COLUMN(D121))</f>
        <v>12</v>
      </c>
      <c r="E131" s="4" t="str">
        <f>+VLOOKUP($A131,'REGISTRO GENERAL'!$A$4:$AA$201,COLUMN($E$1))</f>
        <v>Grupo F56 S.A.</v>
      </c>
      <c r="F131" s="4">
        <f>+VLOOKUP($A131,'REGISTRO GENERAL'!$A$4:$AA$201,COLUMN('REGISTRO GENERAL'!M101))</f>
        <v>0</v>
      </c>
      <c r="G131" s="3" t="s">
        <v>10</v>
      </c>
      <c r="H131" s="3"/>
      <c r="I131" s="22">
        <f>L131/$L$4</f>
        <v>4.3229045611793748E-2</v>
      </c>
      <c r="J131" s="37">
        <f>L131/100000</f>
        <v>83510</v>
      </c>
      <c r="K131" s="37">
        <f>J131*5</f>
        <v>417550</v>
      </c>
      <c r="L131" s="37">
        <f>+'REGISTRO GENERAL'!AB8</f>
        <v>8351000000</v>
      </c>
    </row>
    <row r="132" spans="1:12" x14ac:dyDescent="0.25">
      <c r="A132" s="3">
        <v>14</v>
      </c>
      <c r="B132" s="3">
        <f>+VLOOKUP($A132,'[1]REGISTRO GENERAL'!$A$4:$AA$307,COLUMN($B$1))</f>
        <v>1045</v>
      </c>
      <c r="C132" s="3">
        <f>+VLOOKUP($A132,'[1]REGISTRO GENERAL'!$A$4:$AA$307,COLUMN($C$1))</f>
        <v>2024</v>
      </c>
      <c r="D132" s="3">
        <f>+VLOOKUP($A132,'[1]REGISTRO GENERAL'!$A$4:$AA$307,COLUMN(D122))</f>
        <v>12</v>
      </c>
      <c r="E132" s="4" t="str">
        <f>+VLOOKUP($A132,'REGISTRO GENERAL'!$A$4:$AA$201,COLUMN($E$1))</f>
        <v>Laufer, Jaime</v>
      </c>
      <c r="F132" s="4">
        <f>+VLOOKUP($A132,'REGISTRO GENERAL'!$A$4:$AA$201,COLUMN('REGISTRO GENERAL'!M102))</f>
        <v>0</v>
      </c>
      <c r="G132" s="3" t="s">
        <v>10</v>
      </c>
      <c r="H132" s="3"/>
      <c r="I132" s="22">
        <f t="shared" ref="I132:I175" si="24">L132/$L$4</f>
        <v>2.1899230925720686E-2</v>
      </c>
      <c r="J132" s="37">
        <f>L132/100000</f>
        <v>42305</v>
      </c>
      <c r="K132" s="37">
        <f>J132*5</f>
        <v>211525</v>
      </c>
      <c r="L132" s="37">
        <f>+'REGISTRO GENERAL'!AB17</f>
        <v>4230500000</v>
      </c>
    </row>
    <row r="133" spans="1:12" x14ac:dyDescent="0.25">
      <c r="A133" s="3">
        <v>15</v>
      </c>
      <c r="B133" s="3">
        <f>+VLOOKUP($A133,'[1]REGISTRO GENERAL'!$A$4:$AA$307,COLUMN($B$1))</f>
        <v>1045</v>
      </c>
      <c r="C133" s="3">
        <f>+VLOOKUP($A133,'[1]REGISTRO GENERAL'!$A$4:$AA$307,COLUMN($C$1))</f>
        <v>2024</v>
      </c>
      <c r="D133" s="3">
        <f>+VLOOKUP($A133,'[1]REGISTRO GENERAL'!$A$4:$AA$307,COLUMN(D123))</f>
        <v>12</v>
      </c>
      <c r="E133" s="4" t="str">
        <f>+VLOOKUP($A133,'REGISTRO GENERAL'!$A$4:$AA$201,COLUMN($E$1))</f>
        <v>Cristaldo Savorgnan, Óscar Raúl</v>
      </c>
      <c r="F133" s="4">
        <f>+VLOOKUP($A133,'REGISTRO GENERAL'!$A$4:$AA$201,COLUMN('REGISTRO GENERAL'!M103))</f>
        <v>0</v>
      </c>
      <c r="G133" s="3" t="s">
        <v>10</v>
      </c>
      <c r="H133" s="3"/>
      <c r="I133" s="22">
        <f t="shared" si="24"/>
        <v>1.6432317373976539E-2</v>
      </c>
      <c r="J133" s="37">
        <f t="shared" ref="J133:J178" si="25">L133/100000</f>
        <v>31744</v>
      </c>
      <c r="K133" s="37">
        <f t="shared" ref="K133:K164" si="26">J133*5</f>
        <v>158720</v>
      </c>
      <c r="L133" s="37">
        <f>+'REGISTRO GENERAL'!AB18</f>
        <v>3174400000</v>
      </c>
    </row>
    <row r="134" spans="1:12" x14ac:dyDescent="0.25">
      <c r="A134" s="3">
        <v>114</v>
      </c>
      <c r="B134" s="3">
        <f>+VLOOKUP($A134,'[1]REGISTRO GENERAL'!$A$4:$AA$307,COLUMN($B$1))</f>
        <v>1045</v>
      </c>
      <c r="C134" s="3">
        <f>+VLOOKUP($A134,'[1]REGISTRO GENERAL'!$A$4:$AA$307,COLUMN($C$1))</f>
        <v>2024</v>
      </c>
      <c r="D134" s="3">
        <f>+VLOOKUP($A134,'[1]REGISTRO GENERAL'!$A$4:$AA$307,COLUMN(D122))</f>
        <v>6</v>
      </c>
      <c r="E134" s="4" t="str">
        <f>+VLOOKUP($A134,'REGISTRO GENERAL'!$A$4:$AA$201,COLUMN($E$1))</f>
        <v>Cristaldo Savorgnan, Óscar Raúl</v>
      </c>
      <c r="F134" s="4">
        <f>+VLOOKUP($A134,'REGISTRO GENERAL'!$A$4:$AA$201,COLUMN('REGISTRO GENERAL'!M102))</f>
        <v>0</v>
      </c>
      <c r="G134" s="3"/>
      <c r="H134" s="3" t="s">
        <v>239</v>
      </c>
      <c r="I134" s="22">
        <f t="shared" ref="I134:I135" si="27">L134/$L$4</f>
        <v>2.5882556347619297E-4</v>
      </c>
      <c r="J134" s="37">
        <f t="shared" ref="J134:J135" si="28">L134/100000</f>
        <v>500</v>
      </c>
      <c r="K134" s="37" t="s">
        <v>240</v>
      </c>
      <c r="L134" s="37">
        <v>50000000</v>
      </c>
    </row>
    <row r="135" spans="1:12" x14ac:dyDescent="0.25">
      <c r="A135" s="3">
        <v>157</v>
      </c>
      <c r="B135" s="3">
        <f>+VLOOKUP($A135,'[1]REGISTRO GENERAL'!$A$4:$AA$307,COLUMN($B$1))</f>
        <v>1045</v>
      </c>
      <c r="C135" s="3">
        <f>+VLOOKUP($A135,'[1]REGISTRO GENERAL'!$A$4:$AA$307,COLUMN($C$1))</f>
        <v>2024</v>
      </c>
      <c r="D135" s="3">
        <f>+VLOOKUP($A135,'[1]REGISTRO GENERAL'!$A$4:$AA$307,COLUMN(D123))</f>
        <v>6</v>
      </c>
      <c r="E135" s="4" t="str">
        <f>+VLOOKUP($A135,'REGISTRO GENERAL'!$A$4:$AA$201,COLUMN($E$1))</f>
        <v>Cristaldo Savorgnan, Óscar Raúl</v>
      </c>
      <c r="F135" s="4">
        <f>+VLOOKUP($A135,'REGISTRO GENERAL'!$A$4:$AA$201,COLUMN('REGISTRO GENERAL'!M103))</f>
        <v>0</v>
      </c>
      <c r="G135" s="3"/>
      <c r="H135" s="3" t="s">
        <v>241</v>
      </c>
      <c r="I135" s="22">
        <f t="shared" si="27"/>
        <v>2.5882556347619297E-4</v>
      </c>
      <c r="J135" s="37">
        <f t="shared" si="28"/>
        <v>500</v>
      </c>
      <c r="K135" s="37" t="s">
        <v>240</v>
      </c>
      <c r="L135" s="37">
        <v>50000000</v>
      </c>
    </row>
    <row r="136" spans="1:12" x14ac:dyDescent="0.25">
      <c r="A136" s="3">
        <v>20</v>
      </c>
      <c r="B136" s="3">
        <f>+VLOOKUP($A136,'[1]REGISTRO GENERAL'!$A$4:$AA$307,COLUMN($B$1))</f>
        <v>1045</v>
      </c>
      <c r="C136" s="3">
        <f>+VLOOKUP($A136,'[1]REGISTRO GENERAL'!$A$4:$AA$307,COLUMN($C$1))</f>
        <v>2024</v>
      </c>
      <c r="D136" s="3">
        <f>+VLOOKUP($A136,'[1]REGISTRO GENERAL'!$A$4:$AA$307,COLUMN(D124))</f>
        <v>12</v>
      </c>
      <c r="E136" s="4" t="str">
        <f>+VLOOKUP($A136,'REGISTRO GENERAL'!$A$4:$AA$201,COLUMN($E$1))</f>
        <v>Szklarkiervicz Kaller, Horacio</v>
      </c>
      <c r="F136" s="4">
        <f>+VLOOKUP($A136,'REGISTRO GENERAL'!$A$4:$AA$201,COLUMN('REGISTRO GENERAL'!M104))</f>
        <v>0</v>
      </c>
      <c r="G136" s="3" t="s">
        <v>10</v>
      </c>
      <c r="H136" s="3"/>
      <c r="I136" s="22">
        <f t="shared" si="24"/>
        <v>8.7664218349386563E-3</v>
      </c>
      <c r="J136" s="37">
        <f>L136/100000</f>
        <v>16935</v>
      </c>
      <c r="K136" s="37">
        <f>J136*5</f>
        <v>84675</v>
      </c>
      <c r="L136" s="37">
        <f>+'REGISTRO GENERAL'!AB23</f>
        <v>1693500000</v>
      </c>
    </row>
    <row r="137" spans="1:12" x14ac:dyDescent="0.25">
      <c r="A137" s="3">
        <v>16</v>
      </c>
      <c r="B137" s="3">
        <f>+VLOOKUP($A137,'[1]REGISTRO GENERAL'!$A$4:$AA$307,COLUMN($B$1))</f>
        <v>1045</v>
      </c>
      <c r="C137" s="3">
        <f>+VLOOKUP($A137,'[1]REGISTRO GENERAL'!$A$4:$AA$307,COLUMN($C$1))</f>
        <v>2024</v>
      </c>
      <c r="D137" s="3">
        <f>+VLOOKUP($A137,'[1]REGISTRO GENERAL'!$A$4:$AA$307,COLUMN(D125))</f>
        <v>12</v>
      </c>
      <c r="E137" s="4" t="str">
        <f>+VLOOKUP($A137,'REGISTRO GENERAL'!$A$4:$AA$201,COLUMN($E$1))</f>
        <v>Platina Paraguay S.A.</v>
      </c>
      <c r="F137" s="4">
        <f>+VLOOKUP($A137,'REGISTRO GENERAL'!$A$4:$AA$201,COLUMN('REGISTRO GENERAL'!M105))</f>
        <v>0</v>
      </c>
      <c r="G137" s="3" t="s">
        <v>10</v>
      </c>
      <c r="H137" s="3"/>
      <c r="I137" s="22">
        <f t="shared" ref="I137" si="29">L137/$L$4</f>
        <v>1.0849449969795057E-2</v>
      </c>
      <c r="J137" s="37">
        <f>L137/100000</f>
        <v>20959</v>
      </c>
      <c r="K137" s="37">
        <f>J137*5</f>
        <v>104795</v>
      </c>
      <c r="L137" s="37">
        <f>+'REGISTRO GENERAL'!AB19</f>
        <v>2095900000</v>
      </c>
    </row>
    <row r="138" spans="1:12" x14ac:dyDescent="0.25">
      <c r="A138" s="3">
        <v>110</v>
      </c>
      <c r="B138" s="3">
        <f>+VLOOKUP($A138,'[1]REGISTRO GENERAL'!$A$4:$AA$307,COLUMN($B$1))</f>
        <v>1045</v>
      </c>
      <c r="C138" s="3">
        <f>+VLOOKUP($A138,'[1]REGISTRO GENERAL'!$A$4:$AA$307,COLUMN($C$1))</f>
        <v>2024</v>
      </c>
      <c r="D138" s="3">
        <f>+VLOOKUP($A138,'[1]REGISTRO GENERAL'!$A$4:$AA$307,COLUMN(D125))</f>
        <v>6</v>
      </c>
      <c r="E138" s="4" t="str">
        <f>+VLOOKUP($A138,'REGISTRO GENERAL'!$A$4:$AA$201,COLUMN($E$1))</f>
        <v>Platina Paraguay S.A.</v>
      </c>
      <c r="F138" s="4">
        <f>+VLOOKUP($A138,'REGISTRO GENERAL'!$A$4:$AA$201,COLUMN('REGISTRO GENERAL'!M105))</f>
        <v>0</v>
      </c>
      <c r="G138" s="3"/>
      <c r="H138" s="3" t="s">
        <v>239</v>
      </c>
      <c r="I138" s="22">
        <f>L138/$L$4</f>
        <v>2.5882556347619295E-3</v>
      </c>
      <c r="J138" s="37">
        <f t="shared" ref="J138" si="30">L138/100000</f>
        <v>5000</v>
      </c>
      <c r="K138" s="37" t="s">
        <v>240</v>
      </c>
      <c r="L138" s="37">
        <v>500000000</v>
      </c>
    </row>
    <row r="139" spans="1:12" x14ac:dyDescent="0.25">
      <c r="A139" s="3">
        <v>31</v>
      </c>
      <c r="B139" s="3">
        <f>+VLOOKUP($A139,'[1]REGISTRO GENERAL'!$A$4:$AA$307,COLUMN($B$1))</f>
        <v>1045</v>
      </c>
      <c r="C139" s="3">
        <f>+VLOOKUP($A139,'[1]REGISTRO GENERAL'!$A$4:$AA$307,COLUMN($C$1))</f>
        <v>2024</v>
      </c>
      <c r="D139" s="3">
        <f>+VLOOKUP($A139,'[1]REGISTRO GENERAL'!$A$4:$AA$307,COLUMN(D45))</f>
        <v>12</v>
      </c>
      <c r="E139" s="4" t="str">
        <f>+VLOOKUP($A139,'REGISTRO GENERAL'!$A$4:$AA$201,COLUMN($E$1))</f>
        <v>Asrilevich Barnatan, Luis Jaime</v>
      </c>
      <c r="F139" s="4">
        <f>+VLOOKUP($A139,'REGISTRO GENERAL'!$A$4:$AA$201,COLUMN('REGISTRO GENERAL'!M104))</f>
        <v>0</v>
      </c>
      <c r="G139" s="3" t="s">
        <v>10</v>
      </c>
      <c r="H139" s="3"/>
      <c r="I139" s="22">
        <f t="shared" si="24"/>
        <v>4.3839873941597567E-3</v>
      </c>
      <c r="J139" s="37">
        <f t="shared" si="25"/>
        <v>8469</v>
      </c>
      <c r="K139" s="37">
        <f t="shared" si="26"/>
        <v>42345</v>
      </c>
      <c r="L139" s="37">
        <f>+'REGISTRO GENERAL'!AB34</f>
        <v>846900000</v>
      </c>
    </row>
    <row r="140" spans="1:12" x14ac:dyDescent="0.25">
      <c r="A140" s="3">
        <v>23</v>
      </c>
      <c r="B140" s="3">
        <f>+VLOOKUP($A140,'[1]REGISTRO GENERAL'!$A$4:$AA$307,COLUMN($B$1))</f>
        <v>1045</v>
      </c>
      <c r="C140" s="3">
        <f>+VLOOKUP($A140,'[1]REGISTRO GENERAL'!$A$4:$AA$307,COLUMN($C$1))</f>
        <v>2024</v>
      </c>
      <c r="D140" s="3">
        <f>+VLOOKUP($A140,'[1]REGISTRO GENERAL'!$A$4:$AA$307,COLUMN(D111))</f>
        <v>12</v>
      </c>
      <c r="E140" s="4" t="str">
        <f>+VLOOKUP($A140,'REGISTRO GENERAL'!$A$4:$AA$201,COLUMN($E$1))</f>
        <v>Domed de Fariñas, Berta Agustina</v>
      </c>
      <c r="F140" s="4">
        <f>+VLOOKUP($A140,'REGISTRO GENERAL'!$A$4:$AA$201,COLUMN('REGISTRO GENERAL'!M104))</f>
        <v>0</v>
      </c>
      <c r="G140" s="3" t="s">
        <v>10</v>
      </c>
      <c r="H140" s="3"/>
      <c r="I140" s="22">
        <f t="shared" si="24"/>
        <v>8.4128661152301758E-3</v>
      </c>
      <c r="J140" s="37">
        <f t="shared" si="25"/>
        <v>16252</v>
      </c>
      <c r="K140" s="37">
        <f t="shared" si="26"/>
        <v>81260</v>
      </c>
      <c r="L140" s="37">
        <f>+'REGISTRO GENERAL'!AB26</f>
        <v>1625200000</v>
      </c>
    </row>
    <row r="141" spans="1:12" x14ac:dyDescent="0.25">
      <c r="A141" s="3">
        <v>27</v>
      </c>
      <c r="B141" s="3">
        <f>+VLOOKUP($A141,'[1]REGISTRO GENERAL'!$A$4:$AA$307,COLUMN($B$1))</f>
        <v>1045</v>
      </c>
      <c r="C141" s="3">
        <f>+VLOOKUP($A141,'[1]REGISTRO GENERAL'!$A$4:$AA$307,COLUMN($C$1))</f>
        <v>2024</v>
      </c>
      <c r="D141" s="3">
        <f>+VLOOKUP($A141,'[1]REGISTRO GENERAL'!$A$4:$AA$307,COLUMN(D112))</f>
        <v>12</v>
      </c>
      <c r="E141" s="4" t="str">
        <f>+VLOOKUP($A141,'REGISTRO GENERAL'!$A$4:$AA$201,COLUMN($E$1))</f>
        <v>Recanate Talavera, Porfirio</v>
      </c>
      <c r="F141" s="4">
        <f>+VLOOKUP($A141,'REGISTRO GENERAL'!$A$4:$AA$201,COLUMN('REGISTRO GENERAL'!M105))</f>
        <v>0</v>
      </c>
      <c r="G141" s="3" t="s">
        <v>10</v>
      </c>
      <c r="H141" s="3"/>
      <c r="I141" s="22">
        <f t="shared" si="24"/>
        <v>4.9270034263328094E-3</v>
      </c>
      <c r="J141" s="37">
        <f t="shared" si="25"/>
        <v>9518</v>
      </c>
      <c r="K141" s="37">
        <f t="shared" si="26"/>
        <v>47590</v>
      </c>
      <c r="L141" s="37">
        <f>+'REGISTRO GENERAL'!AB30</f>
        <v>951800000</v>
      </c>
    </row>
    <row r="142" spans="1:12" x14ac:dyDescent="0.25">
      <c r="A142" s="3">
        <v>28</v>
      </c>
      <c r="B142" s="3">
        <f>+VLOOKUP($A142,'[1]REGISTRO GENERAL'!$A$4:$AA$307,COLUMN($B$1))</f>
        <v>1045</v>
      </c>
      <c r="C142" s="3">
        <f>+VLOOKUP($A142,'[1]REGISTRO GENERAL'!$A$4:$AA$307,COLUMN($C$1))</f>
        <v>2024</v>
      </c>
      <c r="D142" s="3">
        <f>+VLOOKUP($A142,'[1]REGISTRO GENERAL'!$A$4:$AA$307,COLUMN(D23))</f>
        <v>12</v>
      </c>
      <c r="E142" s="4" t="str">
        <f>+VLOOKUP($A142,'REGISTRO GENERAL'!$A$4:$AA$201,COLUMN($E$1))</f>
        <v>Tattón Gómez, María Verónica</v>
      </c>
      <c r="F142" s="4" t="str">
        <f>+VLOOKUP($A142,'REGISTRO GENERAL'!$A$4:$AA$201,COLUMN('REGISTRO GENERAL'!M107))</f>
        <v>Hna de Carlos José Tatton</v>
      </c>
      <c r="G142" s="3" t="s">
        <v>10</v>
      </c>
      <c r="H142" s="3"/>
      <c r="I142" s="22">
        <f t="shared" si="24"/>
        <v>4.8384850836239515E-3</v>
      </c>
      <c r="J142" s="37">
        <f t="shared" si="25"/>
        <v>9347</v>
      </c>
      <c r="K142" s="37">
        <f t="shared" si="26"/>
        <v>46735</v>
      </c>
      <c r="L142" s="37">
        <f>+'REGISTRO GENERAL'!AB31</f>
        <v>934700000</v>
      </c>
    </row>
    <row r="143" spans="1:12" x14ac:dyDescent="0.25">
      <c r="A143" s="3">
        <v>35</v>
      </c>
      <c r="B143" s="3">
        <f>+VLOOKUP($A143,'[1]REGISTRO GENERAL'!$A$4:$AA$307,COLUMN($B$1))</f>
        <v>1045</v>
      </c>
      <c r="C143" s="3">
        <f>+VLOOKUP($A143,'[1]REGISTRO GENERAL'!$A$4:$AA$307,COLUMN($C$1))</f>
        <v>2024</v>
      </c>
      <c r="D143" s="3">
        <f>+VLOOKUP($A143,'[1]REGISTRO GENERAL'!$A$4:$AA$307,COLUMN(D27))</f>
        <v>12</v>
      </c>
      <c r="E143" s="4" t="str">
        <f>+VLOOKUP($A143,'REGISTRO GENERAL'!$A$4:$AA$201,COLUMN($E$1))</f>
        <v>Goldemberg Asrilevich, Jorge Aníbal</v>
      </c>
      <c r="F143" s="4">
        <f>+VLOOKUP($A143,'REGISTRO GENERAL'!$A$4:$AA$201,COLUMN('REGISTRO GENERAL'!M111))</f>
        <v>0</v>
      </c>
      <c r="G143" s="3" t="s">
        <v>10</v>
      </c>
      <c r="H143" s="3"/>
      <c r="I143" s="22">
        <f t="shared" si="24"/>
        <v>3.5681692180827961E-3</v>
      </c>
      <c r="J143" s="37">
        <f t="shared" si="25"/>
        <v>6893</v>
      </c>
      <c r="K143" s="37">
        <f t="shared" si="26"/>
        <v>34465</v>
      </c>
      <c r="L143" s="37">
        <f>+'REGISTRO GENERAL'!AB38</f>
        <v>689300000</v>
      </c>
    </row>
    <row r="144" spans="1:12" x14ac:dyDescent="0.25">
      <c r="A144" s="3">
        <v>123</v>
      </c>
      <c r="B144" s="3">
        <f>+VLOOKUP($A144,'[1]REGISTRO GENERAL'!$A$4:$AA$307,COLUMN($B$1))</f>
        <v>1045</v>
      </c>
      <c r="C144" s="3">
        <f>+VLOOKUP($A144,'[1]REGISTRO GENERAL'!$A$4:$AA$307,COLUMN($C$1))</f>
        <v>2024</v>
      </c>
      <c r="D144" s="3">
        <f>+VLOOKUP($A144,'[1]REGISTRO GENERAL'!$A$4:$AA$307,COLUMN(D28))</f>
        <v>6</v>
      </c>
      <c r="E144" s="4" t="str">
        <f>+VLOOKUP($A144,'REGISTRO GENERAL'!$A$4:$AA$201,COLUMN($E$1))</f>
        <v>Goldemberg Asrilevich, Jorge Aníbal</v>
      </c>
      <c r="F144" s="4" t="e">
        <f>+VLOOKUP($A144,'REGISTRO GENERAL'!$A$4:$AA$201,COLUMN('REGISTRO GENERAL'!#REF!))</f>
        <v>#REF!</v>
      </c>
      <c r="G144" s="3"/>
      <c r="H144" s="3" t="s">
        <v>239</v>
      </c>
      <c r="I144" s="22">
        <f t="shared" ref="I144" si="31">L144/$L$4</f>
        <v>2.0498984627314483E-4</v>
      </c>
      <c r="J144" s="37">
        <f t="shared" ref="J144" si="32">L144/100000</f>
        <v>396</v>
      </c>
      <c r="K144" s="37" t="s">
        <v>240</v>
      </c>
      <c r="L144" s="37">
        <v>39600000</v>
      </c>
    </row>
    <row r="145" spans="1:12" x14ac:dyDescent="0.25">
      <c r="A145" s="3">
        <v>38</v>
      </c>
      <c r="B145" s="3">
        <f>+VLOOKUP($A145,'[1]REGISTRO GENERAL'!$A$4:$AA$307,COLUMN($B$1))</f>
        <v>1045</v>
      </c>
      <c r="C145" s="3">
        <f>+VLOOKUP($A145,'[1]REGISTRO GENERAL'!$A$4:$AA$307,COLUMN($C$1))</f>
        <v>2024</v>
      </c>
      <c r="D145" s="3">
        <f>+VLOOKUP($A145,'[1]REGISTRO GENERAL'!$A$4:$AA$307,COLUMN(D29))</f>
        <v>12</v>
      </c>
      <c r="E145" s="4" t="str">
        <f>+VLOOKUP($A145,'REGISTRO GENERAL'!$A$4:$AA$201,COLUMN($E$1))</f>
        <v>Cabezudo Fassanelli, Juan Carlos</v>
      </c>
      <c r="F145" s="4" t="e">
        <f>+VLOOKUP($A145,'REGISTRO GENERAL'!$A$4:$AA$201,COLUMN('REGISTRO GENERAL'!#REF!))</f>
        <v>#REF!</v>
      </c>
      <c r="G145" s="3" t="s">
        <v>10</v>
      </c>
      <c r="H145" s="3"/>
      <c r="I145" s="22">
        <f t="shared" si="24"/>
        <v>3.3352262109542226E-3</v>
      </c>
      <c r="J145" s="37">
        <f t="shared" si="25"/>
        <v>6443</v>
      </c>
      <c r="K145" s="37">
        <f t="shared" si="26"/>
        <v>32215</v>
      </c>
      <c r="L145" s="37">
        <f>+'REGISTRO GENERAL'!AB41</f>
        <v>644300000</v>
      </c>
    </row>
    <row r="146" spans="1:12" x14ac:dyDescent="0.25">
      <c r="A146" s="3">
        <v>42</v>
      </c>
      <c r="B146" s="3">
        <f>+VLOOKUP($A146,'[1]REGISTRO GENERAL'!$A$4:$AA$307,COLUMN($B$1))</f>
        <v>1045</v>
      </c>
      <c r="C146" s="3">
        <f>+VLOOKUP($A146,'[1]REGISTRO GENERAL'!$A$4:$AA$307,COLUMN($C$1))</f>
        <v>2024</v>
      </c>
      <c r="D146" s="3">
        <f>+VLOOKUP($A146,'[1]REGISTRO GENERAL'!$A$4:$AA$307,COLUMN(D31))</f>
        <v>12</v>
      </c>
      <c r="E146" s="4" t="str">
        <f>+VLOOKUP($A146,'REGISTRO GENERAL'!$A$4:$AA$201,COLUMN($E$1))</f>
        <v>Domaniczky Frutos, Carlos Manuel</v>
      </c>
      <c r="F146" s="4" t="e">
        <f>+VLOOKUP($A146,'REGISTRO GENERAL'!$A$4:$AA$201,COLUMN('REGISTRO GENERAL'!#REF!))</f>
        <v>#REF!</v>
      </c>
      <c r="G146" s="3" t="s">
        <v>10</v>
      </c>
      <c r="H146" s="3"/>
      <c r="I146" s="22">
        <f t="shared" si="24"/>
        <v>2.591361541523644E-3</v>
      </c>
      <c r="J146" s="37">
        <f t="shared" si="25"/>
        <v>5006</v>
      </c>
      <c r="K146" s="37">
        <f t="shared" si="26"/>
        <v>25030</v>
      </c>
      <c r="L146" s="37">
        <f>+'REGISTRO GENERAL'!AB45</f>
        <v>500600000</v>
      </c>
    </row>
    <row r="147" spans="1:12" x14ac:dyDescent="0.25">
      <c r="A147" s="3">
        <v>44</v>
      </c>
      <c r="B147" s="3">
        <f>+VLOOKUP($A147,'[1]REGISTRO GENERAL'!$A$4:$AA$307,COLUMN($B$1))</f>
        <v>1045</v>
      </c>
      <c r="C147" s="3">
        <f>+VLOOKUP($A147,'[1]REGISTRO GENERAL'!$A$4:$AA$307,COLUMN($C$1))</f>
        <v>2024</v>
      </c>
      <c r="D147" s="3">
        <f>+VLOOKUP($A147,'[1]REGISTRO GENERAL'!$A$4:$AA$307,COLUMN(D31))</f>
        <v>12</v>
      </c>
      <c r="E147" s="4" t="str">
        <f>+VLOOKUP($A147,'REGISTRO GENERAL'!$A$4:$AA$201,COLUMN($E$1))</f>
        <v>Figueredo de Moreno, Gloria Marilin</v>
      </c>
      <c r="F147" s="4" t="e">
        <f>+VLOOKUP($A147,'REGISTRO GENERAL'!$A$4:$AA$201,COLUMN('REGISTRO GENERAL'!#REF!))</f>
        <v>#REF!</v>
      </c>
      <c r="G147" s="3" t="s">
        <v>10</v>
      </c>
      <c r="H147" s="3"/>
      <c r="I147" s="22">
        <f t="shared" si="24"/>
        <v>2.3485831629829748E-3</v>
      </c>
      <c r="J147" s="37">
        <f t="shared" si="25"/>
        <v>4537</v>
      </c>
      <c r="K147" s="37">
        <f t="shared" si="26"/>
        <v>22685</v>
      </c>
      <c r="L147" s="37">
        <f>+'REGISTRO GENERAL'!AB47</f>
        <v>453700000</v>
      </c>
    </row>
    <row r="148" spans="1:12" x14ac:dyDescent="0.25">
      <c r="A148" s="3">
        <v>60</v>
      </c>
      <c r="B148" s="3">
        <f>+VLOOKUP($A148,'[1]REGISTRO GENERAL'!$A$4:$AA$307,COLUMN($B$1))</f>
        <v>1045</v>
      </c>
      <c r="C148" s="3">
        <f>+VLOOKUP($A148,'[1]REGISTRO GENERAL'!$A$4:$AA$307,COLUMN($C$1))</f>
        <v>2024</v>
      </c>
      <c r="D148" s="3">
        <f>+VLOOKUP($A148,'[1]REGISTRO GENERAL'!$A$4:$AA$307,COLUMN(D33))</f>
        <v>12</v>
      </c>
      <c r="E148" s="4" t="str">
        <f>+VLOOKUP($A148,'REGISTRO GENERAL'!$A$4:$AA$201,COLUMN($E$1))</f>
        <v>Acuña Zárate, Nadinhe Erica</v>
      </c>
      <c r="F148" s="4" t="e">
        <f>+VLOOKUP($A148,'REGISTRO GENERAL'!$A$4:$AA$201,COLUMN('REGISTRO GENERAL'!#REF!))</f>
        <v>#REF!</v>
      </c>
      <c r="G148" s="3" t="s">
        <v>10</v>
      </c>
      <c r="H148" s="3"/>
      <c r="I148" s="22">
        <f t="shared" si="24"/>
        <v>1.7858963879857314E-3</v>
      </c>
      <c r="J148" s="37">
        <f t="shared" si="25"/>
        <v>3450</v>
      </c>
      <c r="K148" s="37">
        <f t="shared" si="26"/>
        <v>17250</v>
      </c>
      <c r="L148" s="37">
        <f>+'REGISTRO GENERAL'!AB63</f>
        <v>345000000</v>
      </c>
    </row>
    <row r="149" spans="1:12" x14ac:dyDescent="0.25">
      <c r="A149" s="3">
        <v>64</v>
      </c>
      <c r="B149" s="3">
        <f>+VLOOKUP($A149,'[1]REGISTRO GENERAL'!$A$4:$AA$307,COLUMN($B$1))</f>
        <v>1045</v>
      </c>
      <c r="C149" s="3">
        <f>+VLOOKUP($A149,'[1]REGISTRO GENERAL'!$A$4:$AA$307,COLUMN($C$1))</f>
        <v>2024</v>
      </c>
      <c r="D149" s="3">
        <f>+VLOOKUP($A149,'[1]REGISTRO GENERAL'!$A$4:$AA$307,COLUMN(D146))</f>
        <v>12</v>
      </c>
      <c r="E149" s="4" t="str">
        <f>+VLOOKUP($A149,'REGISTRO GENERAL'!$A$4:$AA$201,COLUMN($E$1))</f>
        <v>Flecha Fiore, Claudia Valeria</v>
      </c>
      <c r="F149" s="4" t="e">
        <f>+VLOOKUP($A149,'REGISTRO GENERAL'!$A$4:$AA$201,COLUMN('REGISTRO GENERAL'!#REF!))</f>
        <v>#REF!</v>
      </c>
      <c r="G149" s="3" t="s">
        <v>10</v>
      </c>
      <c r="H149" s="3"/>
      <c r="I149" s="22">
        <f t="shared" si="24"/>
        <v>1.6352599100425871E-3</v>
      </c>
      <c r="J149" s="37">
        <f t="shared" si="25"/>
        <v>3159</v>
      </c>
      <c r="K149" s="37">
        <f t="shared" si="26"/>
        <v>15795</v>
      </c>
      <c r="L149" s="37">
        <f>+'REGISTRO GENERAL'!AB67</f>
        <v>315900000</v>
      </c>
    </row>
    <row r="150" spans="1:12" x14ac:dyDescent="0.25">
      <c r="A150" s="3">
        <v>65</v>
      </c>
      <c r="B150" s="3">
        <f>+VLOOKUP($A150,'[1]REGISTRO GENERAL'!$A$4:$AA$307,COLUMN($B$1))</f>
        <v>1045</v>
      </c>
      <c r="C150" s="3">
        <f>+VLOOKUP($A150,'[1]REGISTRO GENERAL'!$A$4:$AA$307,COLUMN($C$1))</f>
        <v>2024</v>
      </c>
      <c r="D150" s="3">
        <f>+VLOOKUP($A150,'[1]REGISTRO GENERAL'!$A$4:$AA$307,COLUMN(D145))</f>
        <v>12</v>
      </c>
      <c r="E150" s="4" t="str">
        <f>+VLOOKUP($A150,'REGISTRO GENERAL'!$A$4:$AA$201,COLUMN($E$1))</f>
        <v>Ricciardi Chaves, José Antonio</v>
      </c>
      <c r="F150" s="4" t="e">
        <f>+VLOOKUP($A150,'REGISTRO GENERAL'!$A$4:$AA$201,COLUMN('REGISTRO GENERAL'!#REF!))</f>
        <v>#REF!</v>
      </c>
      <c r="G150" s="3" t="s">
        <v>10</v>
      </c>
      <c r="H150" s="3"/>
      <c r="I150" s="22">
        <f t="shared" si="24"/>
        <v>1.4395877840545853E-3</v>
      </c>
      <c r="J150" s="37">
        <f t="shared" si="25"/>
        <v>2781</v>
      </c>
      <c r="K150" s="37">
        <f t="shared" si="26"/>
        <v>13905</v>
      </c>
      <c r="L150" s="37">
        <f>+'REGISTRO GENERAL'!AB68</f>
        <v>278100000</v>
      </c>
    </row>
    <row r="151" spans="1:12" x14ac:dyDescent="0.25">
      <c r="A151" s="3">
        <v>67</v>
      </c>
      <c r="B151" s="3">
        <f>+VLOOKUP($A151,'[1]REGISTRO GENERAL'!$A$4:$AA$307,COLUMN($B$1))</f>
        <v>1045</v>
      </c>
      <c r="C151" s="3">
        <f>+VLOOKUP($A151,'[1]REGISTRO GENERAL'!$A$4:$AA$307,COLUMN($C$1))</f>
        <v>2024</v>
      </c>
      <c r="D151" s="3">
        <v>12</v>
      </c>
      <c r="E151" s="4" t="str">
        <f>+VLOOKUP($A151,'REGISTRO GENERAL'!$A$4:$AA$201,COLUMN($E$1))</f>
        <v>Capurro Saldivar, Patricia Noemí</v>
      </c>
      <c r="F151" s="4" t="e">
        <f>+VLOOKUP($A151,'REGISTRO GENERAL'!$A$4:$AA$201,COLUMN('REGISTRO GENERAL'!#REF!))</f>
        <v>#REF!</v>
      </c>
      <c r="G151" s="3" t="s">
        <v>10</v>
      </c>
      <c r="H151" s="3"/>
      <c r="I151" s="22">
        <f t="shared" si="24"/>
        <v>1.272904121175917E-3</v>
      </c>
      <c r="J151" s="37">
        <f t="shared" si="25"/>
        <v>2459</v>
      </c>
      <c r="K151" s="37">
        <f t="shared" si="26"/>
        <v>12295</v>
      </c>
      <c r="L151" s="37">
        <f>+'REGISTRO GENERAL'!AB70</f>
        <v>245900000</v>
      </c>
    </row>
    <row r="152" spans="1:12" x14ac:dyDescent="0.25">
      <c r="A152" s="3">
        <v>117</v>
      </c>
      <c r="B152" s="3">
        <f>+VLOOKUP($A152,'[1]REGISTRO GENERAL'!$A$4:$AA$307,COLUMN($B$1))</f>
        <v>1045</v>
      </c>
      <c r="C152" s="3">
        <f>+VLOOKUP($A152,'[1]REGISTRO GENERAL'!$A$4:$AA$307,COLUMN($C$1))</f>
        <v>2024</v>
      </c>
      <c r="D152" s="3">
        <v>12</v>
      </c>
      <c r="E152" s="4" t="str">
        <f>+VLOOKUP($A152,'REGISTRO GENERAL'!$A$4:$AA$201,COLUMN($E$1))</f>
        <v>Capurro Saldivar, Patricia Noemí</v>
      </c>
      <c r="F152" s="4" t="e">
        <f>+VLOOKUP($A152,'REGISTRO GENERAL'!$A$4:$AA$201,COLUMN('REGISTRO GENERAL'!#REF!))</f>
        <v>#REF!</v>
      </c>
      <c r="G152" s="3"/>
      <c r="H152" s="3" t="s">
        <v>239</v>
      </c>
      <c r="I152" s="22">
        <f t="shared" si="24"/>
        <v>1.3821285089628705E-4</v>
      </c>
      <c r="J152" s="37">
        <f t="shared" ref="J152:J153" si="33">L152/100000</f>
        <v>267</v>
      </c>
      <c r="K152" s="37" t="s">
        <v>240</v>
      </c>
      <c r="L152" s="37">
        <v>26700000</v>
      </c>
    </row>
    <row r="153" spans="1:12" x14ac:dyDescent="0.25">
      <c r="A153" s="3">
        <v>160</v>
      </c>
      <c r="B153" s="3">
        <f>+VLOOKUP($A153,'[1]REGISTRO GENERAL'!$A$4:$AA$307,COLUMN($B$1))</f>
        <v>1045</v>
      </c>
      <c r="C153" s="3">
        <f>+VLOOKUP($A153,'[1]REGISTRO GENERAL'!$A$4:$AA$307,COLUMN($C$1))</f>
        <v>2024</v>
      </c>
      <c r="D153" s="3">
        <v>12</v>
      </c>
      <c r="E153" s="4" t="str">
        <f>+VLOOKUP($A153,'REGISTRO GENERAL'!$A$4:$AA$201,COLUMN($E$1))</f>
        <v>Capurro Saldivar, Patricia Noemí</v>
      </c>
      <c r="F153" s="4" t="e">
        <f>+VLOOKUP($A153,'REGISTRO GENERAL'!$A$4:$AA$201,COLUMN('REGISTRO GENERAL'!#REF!))</f>
        <v>#REF!</v>
      </c>
      <c r="G153" s="3"/>
      <c r="H153" s="3" t="s">
        <v>241</v>
      </c>
      <c r="I153" s="22">
        <f t="shared" si="24"/>
        <v>1.3821285089628705E-4</v>
      </c>
      <c r="J153" s="37">
        <f t="shared" si="33"/>
        <v>267</v>
      </c>
      <c r="K153" s="37" t="s">
        <v>240</v>
      </c>
      <c r="L153" s="37">
        <v>26700000</v>
      </c>
    </row>
    <row r="154" spans="1:12" x14ac:dyDescent="0.25">
      <c r="A154" s="3">
        <v>80</v>
      </c>
      <c r="B154" s="3">
        <f>+VLOOKUP($A154,'[1]REGISTRO GENERAL'!$A$4:$AA$307,COLUMN($B$1))</f>
        <v>1045</v>
      </c>
      <c r="C154" s="3">
        <f>+VLOOKUP($A154,'[1]REGISTRO GENERAL'!$A$4:$AA$307,COLUMN($C$1))</f>
        <v>2024</v>
      </c>
      <c r="D154" s="3">
        <f>+VLOOKUP($A154,'[1]REGISTRO GENERAL'!$A$4:$AA$307,COLUMN(D148))</f>
        <v>12</v>
      </c>
      <c r="E154" s="4" t="str">
        <f>+VLOOKUP($A154,'REGISTRO GENERAL'!$A$4:$AA$201,COLUMN($E$1))</f>
        <v>Corvalán Espinola, Mauro Gualberto</v>
      </c>
      <c r="F154" s="4" t="e">
        <f>+VLOOKUP($A154,'REGISTRO GENERAL'!$A$4:$AA$201,COLUMN('REGISTRO GENERAL'!#REF!))</f>
        <v>#REF!</v>
      </c>
      <c r="G154" s="3" t="s">
        <v>10</v>
      </c>
      <c r="H154" s="3"/>
      <c r="I154" s="22">
        <f t="shared" si="24"/>
        <v>7.8217085282505515E-4</v>
      </c>
      <c r="J154" s="37">
        <f t="shared" si="25"/>
        <v>1511</v>
      </c>
      <c r="K154" s="37">
        <f t="shared" si="26"/>
        <v>7555</v>
      </c>
      <c r="L154" s="37">
        <f>+'REGISTRO GENERAL'!AB83</f>
        <v>151100000</v>
      </c>
    </row>
    <row r="155" spans="1:12" x14ac:dyDescent="0.25">
      <c r="A155" s="3">
        <v>84</v>
      </c>
      <c r="B155" s="3">
        <f>+VLOOKUP($A155,'[1]REGISTRO GENERAL'!$A$4:$AA$307,COLUMN($B$1))</f>
        <v>1045</v>
      </c>
      <c r="C155" s="3">
        <f>+VLOOKUP($A155,'[1]REGISTRO GENERAL'!$A$4:$AA$307,COLUMN($C$1))</f>
        <v>2024</v>
      </c>
      <c r="D155" s="3">
        <f>+VLOOKUP($A155,'[1]REGISTRO GENERAL'!$A$4:$AA$307,COLUMN(D149))</f>
        <v>12</v>
      </c>
      <c r="E155" s="4" t="str">
        <f>+VLOOKUP($A155,'REGISTRO GENERAL'!$A$4:$AA$201,COLUMN($E$1))</f>
        <v>Mongelos Cantero, Jorge Daniel</v>
      </c>
      <c r="F155" s="4" t="e">
        <f>+VLOOKUP($A155,'REGISTRO GENERAL'!$A$4:$AA$201,COLUMN('REGISTRO GENERAL'!#REF!))</f>
        <v>#REF!</v>
      </c>
      <c r="G155" s="3" t="s">
        <v>10</v>
      </c>
      <c r="H155" s="3"/>
      <c r="I155" s="22">
        <f t="shared" si="24"/>
        <v>5.4767489231562433E-4</v>
      </c>
      <c r="J155" s="37">
        <f t="shared" si="25"/>
        <v>1058</v>
      </c>
      <c r="K155" s="37">
        <f t="shared" si="26"/>
        <v>5290</v>
      </c>
      <c r="L155" s="37">
        <f>+'REGISTRO GENERAL'!AB87</f>
        <v>105800000</v>
      </c>
    </row>
    <row r="156" spans="1:12" x14ac:dyDescent="0.25">
      <c r="A156" s="3">
        <v>85</v>
      </c>
      <c r="B156" s="3">
        <f>+VLOOKUP($A156,'[1]REGISTRO GENERAL'!$A$4:$AA$307,COLUMN($B$1))</f>
        <v>1045</v>
      </c>
      <c r="C156" s="3">
        <f>+VLOOKUP($A156,'[1]REGISTRO GENERAL'!$A$4:$AA$307,COLUMN($C$1))</f>
        <v>2024</v>
      </c>
      <c r="D156" s="3">
        <f>+VLOOKUP($A156,'[1]REGISTRO GENERAL'!$A$4:$AA$307,COLUMN(D150))</f>
        <v>12</v>
      </c>
      <c r="E156" s="4" t="str">
        <f>+VLOOKUP($A156,'REGISTRO GENERAL'!$A$4:$AA$201,COLUMN($E$1))</f>
        <v>Agüero Insfrán, Carlos Darío</v>
      </c>
      <c r="F156" s="4" t="e">
        <f>+VLOOKUP($A156,'REGISTRO GENERAL'!$A$4:$AA$201,COLUMN('REGISTRO GENERAL'!#REF!))</f>
        <v>#REF!</v>
      </c>
      <c r="G156" s="3" t="s">
        <v>10</v>
      </c>
      <c r="H156" s="3"/>
      <c r="I156" s="22">
        <f t="shared" si="24"/>
        <v>4.891803149700047E-4</v>
      </c>
      <c r="J156" s="37">
        <f t="shared" si="25"/>
        <v>945</v>
      </c>
      <c r="K156" s="37">
        <f t="shared" si="26"/>
        <v>4725</v>
      </c>
      <c r="L156" s="37">
        <f>+'REGISTRO GENERAL'!AB88</f>
        <v>94500000</v>
      </c>
    </row>
    <row r="157" spans="1:12" x14ac:dyDescent="0.25">
      <c r="A157" s="3">
        <v>86</v>
      </c>
      <c r="B157" s="3">
        <f>+VLOOKUP($A157,'[1]REGISTRO GENERAL'!$A$4:$AA$307,COLUMN($B$1))</f>
        <v>1045</v>
      </c>
      <c r="C157" s="3">
        <f>+VLOOKUP($A157,'[1]REGISTRO GENERAL'!$A$4:$AA$307,COLUMN($C$1))</f>
        <v>2024</v>
      </c>
      <c r="D157" s="3">
        <f>+VLOOKUP($A157,'[1]REGISTRO GENERAL'!$A$4:$AA$307,COLUMN(D151))</f>
        <v>12</v>
      </c>
      <c r="E157" s="4" t="str">
        <f>+VLOOKUP($A157,'REGISTRO GENERAL'!$A$4:$AA$201,COLUMN($E$1))</f>
        <v>Rojas Abreu, César Ricardo</v>
      </c>
      <c r="F157" s="4" t="e">
        <f>+VLOOKUP($A157,'REGISTRO GENERAL'!$A$4:$AA$201,COLUMN('REGISTRO GENERAL'!#REF!))</f>
        <v>#REF!</v>
      </c>
      <c r="G157" s="3" t="s">
        <v>10</v>
      </c>
      <c r="H157" s="3"/>
      <c r="I157" s="22">
        <f t="shared" si="24"/>
        <v>4.8607440820829033E-4</v>
      </c>
      <c r="J157" s="37">
        <f t="shared" si="25"/>
        <v>938.99999999999989</v>
      </c>
      <c r="K157" s="37">
        <f t="shared" si="26"/>
        <v>4694.9999999999991</v>
      </c>
      <c r="L157" s="37">
        <f>+'REGISTRO GENERAL'!AB89</f>
        <v>93899999.999999985</v>
      </c>
    </row>
    <row r="158" spans="1:12" x14ac:dyDescent="0.25">
      <c r="A158" s="3">
        <v>88</v>
      </c>
      <c r="B158" s="3">
        <f>+VLOOKUP($A158,'[1]REGISTRO GENERAL'!$A$4:$AA$307,COLUMN($B$1))</f>
        <v>1045</v>
      </c>
      <c r="C158" s="3">
        <f>+VLOOKUP($A158,'[1]REGISTRO GENERAL'!$A$4:$AA$307,COLUMN($C$1))</f>
        <v>2024</v>
      </c>
      <c r="D158" s="3">
        <f>+VLOOKUP($A158,'[1]REGISTRO GENERAL'!$A$4:$AA$307,COLUMN(D154))</f>
        <v>12</v>
      </c>
      <c r="E158" s="4" t="str">
        <f>+VLOOKUP($A158,'REGISTRO GENERAL'!$A$4:$AA$201,COLUMN($E$1))</f>
        <v>Rios Acosta, Denis Arsenio</v>
      </c>
      <c r="F158" s="4" t="e">
        <f>+VLOOKUP($A158,'REGISTRO GENERAL'!$A$4:$AA$201,COLUMN('REGISTRO GENERAL'!#REF!))</f>
        <v>#REF!</v>
      </c>
      <c r="G158" s="3" t="s">
        <v>10</v>
      </c>
      <c r="H158" s="3"/>
      <c r="I158" s="22">
        <f t="shared" si="24"/>
        <v>4.3223869100524227E-4</v>
      </c>
      <c r="J158" s="37">
        <f t="shared" si="25"/>
        <v>835</v>
      </c>
      <c r="K158" s="37">
        <f t="shared" si="26"/>
        <v>4175</v>
      </c>
      <c r="L158" s="37">
        <f>+'REGISTRO GENERAL'!AB91</f>
        <v>83500000</v>
      </c>
    </row>
    <row r="159" spans="1:12" x14ac:dyDescent="0.25">
      <c r="A159" s="3">
        <v>89</v>
      </c>
      <c r="B159" s="3">
        <f>+VLOOKUP($A159,'[1]REGISTRO GENERAL'!$A$4:$AA$307,COLUMN($B$1))</f>
        <v>1045</v>
      </c>
      <c r="C159" s="3">
        <f>+VLOOKUP($A159,'[1]REGISTRO GENERAL'!$A$4:$AA$307,COLUMN($C$1))</f>
        <v>2024</v>
      </c>
      <c r="D159" s="3">
        <f>+VLOOKUP($A159,'[1]REGISTRO GENERAL'!$A$4:$AA$307,COLUMN(D155))</f>
        <v>12</v>
      </c>
      <c r="E159" s="4" t="str">
        <f>+VLOOKUP($A159,'REGISTRO GENERAL'!$A$4:$AA$201,COLUMN($E$1))</f>
        <v>Morel Fernandez, Cristhian Milciades</v>
      </c>
      <c r="F159" s="4" t="e">
        <f>+VLOOKUP($A159,'REGISTRO GENERAL'!$A$4:$AA$201,COLUMN('REGISTRO GENERAL'!#REF!))</f>
        <v>#REF!</v>
      </c>
      <c r="G159" s="3" t="s">
        <v>10</v>
      </c>
      <c r="H159" s="3"/>
      <c r="I159" s="22">
        <f t="shared" si="24"/>
        <v>4.3223869100524227E-4</v>
      </c>
      <c r="J159" s="37">
        <f t="shared" si="25"/>
        <v>835</v>
      </c>
      <c r="K159" s="37">
        <f t="shared" si="26"/>
        <v>4175</v>
      </c>
      <c r="L159" s="37">
        <f>+'REGISTRO GENERAL'!AB92</f>
        <v>83500000</v>
      </c>
    </row>
    <row r="160" spans="1:12" x14ac:dyDescent="0.25">
      <c r="A160" s="3">
        <v>90</v>
      </c>
      <c r="B160" s="3">
        <f>+VLOOKUP($A160,'[1]REGISTRO GENERAL'!$A$4:$AA$307,COLUMN($B$1))</f>
        <v>1045</v>
      </c>
      <c r="C160" s="3">
        <f>+VLOOKUP($A160,'[1]REGISTRO GENERAL'!$A$4:$AA$307,COLUMN($C$1))</f>
        <v>2024</v>
      </c>
      <c r="D160" s="3">
        <f>+VLOOKUP($A160,'[1]REGISTRO GENERAL'!$A$4:$AA$307,COLUMN(D156))</f>
        <v>12</v>
      </c>
      <c r="E160" s="4" t="str">
        <f>+VLOOKUP($A160,'REGISTRO GENERAL'!$A$4:$AA$201,COLUMN($E$1))</f>
        <v>Fretes Núñez, Milciades Damian</v>
      </c>
      <c r="F160" s="4" t="e">
        <f>+VLOOKUP($A160,'REGISTRO GENERAL'!$A$4:$AA$201,COLUMN('REGISTRO GENERAL'!#REF!))</f>
        <v>#REF!</v>
      </c>
      <c r="G160" s="3" t="s">
        <v>10</v>
      </c>
      <c r="H160" s="3"/>
      <c r="I160" s="22">
        <f t="shared" si="24"/>
        <v>4.2550922635486125E-4</v>
      </c>
      <c r="J160" s="37">
        <f t="shared" si="25"/>
        <v>822</v>
      </c>
      <c r="K160" s="37">
        <f t="shared" si="26"/>
        <v>4110</v>
      </c>
      <c r="L160" s="37">
        <f>+'REGISTRO GENERAL'!AB93</f>
        <v>82200000</v>
      </c>
    </row>
    <row r="161" spans="1:12" x14ac:dyDescent="0.25">
      <c r="A161" s="3">
        <v>132</v>
      </c>
      <c r="B161" s="3">
        <f>+VLOOKUP($A161,'[1]REGISTRO GENERAL'!$A$4:$AA$307,COLUMN($B$1))</f>
        <v>1045</v>
      </c>
      <c r="C161" s="3">
        <f>+VLOOKUP($A161,'[1]REGISTRO GENERAL'!$A$4:$AA$307,COLUMN($C$1))</f>
        <v>2024</v>
      </c>
      <c r="D161" s="3">
        <f>+VLOOKUP($A161,'[1]REGISTRO GENERAL'!$A$4:$AA$307,COLUMN(D157))</f>
        <v>6</v>
      </c>
      <c r="E161" s="4" t="str">
        <f>+VLOOKUP($A161,'REGISTRO GENERAL'!$A$4:$AA$201,COLUMN($E$1))</f>
        <v>Morel Fernandez, Cristhian Milciades</v>
      </c>
      <c r="F161" s="4" t="e">
        <f>+VLOOKUP($A161,'REGISTRO GENERAL'!$A$4:$AA$201,COLUMN('REGISTRO GENERAL'!#REF!))</f>
        <v>#REF!</v>
      </c>
      <c r="G161" s="3"/>
      <c r="H161" s="3" t="s">
        <v>239</v>
      </c>
      <c r="I161" s="22">
        <f t="shared" ref="I161" si="34">L161/$L$4</f>
        <v>4.9176857060476664E-5</v>
      </c>
      <c r="J161" s="37">
        <f t="shared" ref="J161" si="35">L161/100000</f>
        <v>95</v>
      </c>
      <c r="K161" s="37" t="s">
        <v>240</v>
      </c>
      <c r="L161" s="37">
        <v>9500000</v>
      </c>
    </row>
    <row r="162" spans="1:12" x14ac:dyDescent="0.25">
      <c r="A162" s="3">
        <v>91</v>
      </c>
      <c r="B162" s="3">
        <f>+VLOOKUP($A162,'[1]REGISTRO GENERAL'!$A$4:$AA$307,COLUMN($B$1))</f>
        <v>1045</v>
      </c>
      <c r="C162" s="3">
        <f>+VLOOKUP($A162,'[1]REGISTRO GENERAL'!$A$4:$AA$307,COLUMN($C$1))</f>
        <v>2024</v>
      </c>
      <c r="D162" s="3">
        <f>+VLOOKUP($A162,'[1]REGISTRO GENERAL'!$A$4:$AA$307,COLUMN(D157))</f>
        <v>12</v>
      </c>
      <c r="E162" s="4" t="str">
        <f>+VLOOKUP($A162,'REGISTRO GENERAL'!$A$4:$AA$201,COLUMN($E$1))</f>
        <v>Ojeda Rocha, Hector Daniel</v>
      </c>
      <c r="F162" s="4" t="e">
        <f>+VLOOKUP($A162,'REGISTRO GENERAL'!$A$4:$AA$201,COLUMN('REGISTRO GENERAL'!#REF!))</f>
        <v>#REF!</v>
      </c>
      <c r="G162" s="3" t="s">
        <v>10</v>
      </c>
      <c r="H162" s="3"/>
      <c r="I162" s="22">
        <f t="shared" si="24"/>
        <v>3.7426176478657503E-4</v>
      </c>
      <c r="J162" s="37">
        <f t="shared" si="25"/>
        <v>723</v>
      </c>
      <c r="K162" s="37">
        <f t="shared" si="26"/>
        <v>3615</v>
      </c>
      <c r="L162" s="37">
        <f>+'REGISTRO GENERAL'!AB94</f>
        <v>72300000</v>
      </c>
    </row>
    <row r="163" spans="1:12" x14ac:dyDescent="0.25">
      <c r="A163" s="3">
        <v>93</v>
      </c>
      <c r="B163" s="3">
        <f>+VLOOKUP($A163,'[1]REGISTRO GENERAL'!$A$4:$AA$307,COLUMN($B$1))</f>
        <v>1045</v>
      </c>
      <c r="C163" s="3">
        <f>+VLOOKUP($A163,'[1]REGISTRO GENERAL'!$A$4:$AA$307,COLUMN($C$1))</f>
        <v>2024</v>
      </c>
      <c r="D163" s="3">
        <f>+VLOOKUP($A163,'[1]REGISTRO GENERAL'!$A$4:$AA$307,COLUMN(D157))</f>
        <v>12</v>
      </c>
      <c r="E163" s="4" t="str">
        <f>+VLOOKUP($A163,'REGISTRO GENERAL'!$A$4:$AA$201,COLUMN($E$1))</f>
        <v>Velilla Barreto, Manuel Antonio</v>
      </c>
      <c r="F163" s="4" t="e">
        <f>+VLOOKUP($A163,'REGISTRO GENERAL'!$A$4:$AA$201,COLUMN('REGISTRO GENERAL'!#REF!))</f>
        <v>#REF!</v>
      </c>
      <c r="G163" s="3" t="s">
        <v>10</v>
      </c>
      <c r="H163" s="3"/>
      <c r="I163" s="22">
        <f t="shared" si="24"/>
        <v>3.266378611069555E-4</v>
      </c>
      <c r="J163" s="37">
        <f t="shared" si="25"/>
        <v>631</v>
      </c>
      <c r="K163" s="37">
        <f t="shared" si="26"/>
        <v>3155</v>
      </c>
      <c r="L163" s="37">
        <f>+'REGISTRO GENERAL'!AB96</f>
        <v>63100000</v>
      </c>
    </row>
    <row r="164" spans="1:12" x14ac:dyDescent="0.25">
      <c r="A164" s="3">
        <v>102</v>
      </c>
      <c r="B164" s="3">
        <f>+VLOOKUP($A164,'[1]REGISTRO GENERAL'!$A$4:$AA$307,COLUMN($B$1))</f>
        <v>1045</v>
      </c>
      <c r="C164" s="3">
        <f>+VLOOKUP($A164,'[1]REGISTRO GENERAL'!$A$4:$AA$307,COLUMN($C$1))</f>
        <v>2024</v>
      </c>
      <c r="D164" s="3">
        <f>+VLOOKUP($A164,'[1]REGISTRO GENERAL'!$A$4:$AA$307,COLUMN(D158))</f>
        <v>12</v>
      </c>
      <c r="E164" s="4" t="str">
        <f>+VLOOKUP($A164,'REGISTRO GENERAL'!$A$4:$AA$201,COLUMN($E$1))</f>
        <v>Mereles Gaona, Carlos María</v>
      </c>
      <c r="F164" s="4" t="e">
        <f>+VLOOKUP($A164,'REGISTRO GENERAL'!$A$4:$AA$201,COLUMN('REGISTRO GENERAL'!#REF!))</f>
        <v>#REF!</v>
      </c>
      <c r="G164" s="3" t="s">
        <v>10</v>
      </c>
      <c r="H164" s="3"/>
      <c r="I164" s="22">
        <f t="shared" si="24"/>
        <v>1.2993043286504887E-4</v>
      </c>
      <c r="J164" s="37">
        <f t="shared" si="25"/>
        <v>251</v>
      </c>
      <c r="K164" s="37">
        <f t="shared" si="26"/>
        <v>1255</v>
      </c>
      <c r="L164" s="37">
        <f>+'REGISTRO GENERAL'!AB105</f>
        <v>25100000</v>
      </c>
    </row>
    <row r="165" spans="1:12" x14ac:dyDescent="0.25">
      <c r="A165" s="3">
        <v>133</v>
      </c>
      <c r="B165" s="3">
        <v>1045</v>
      </c>
      <c r="C165" s="3">
        <v>2024</v>
      </c>
      <c r="D165" s="3">
        <v>6</v>
      </c>
      <c r="E165" s="4" t="str">
        <f>+VLOOKUP($A165,'REGISTRO GENERAL'!$A$4:$AA$201,COLUMN($E$1))</f>
        <v>Cardozo Ramos, Ornella Antonieta</v>
      </c>
      <c r="F165" s="73"/>
      <c r="G165" s="3"/>
      <c r="H165" s="3" t="s">
        <v>232</v>
      </c>
      <c r="I165" s="22">
        <f>L165/$L$4</f>
        <v>1.5529533808571579E-4</v>
      </c>
      <c r="J165" s="37">
        <f t="shared" ref="J165" si="36">L165/100000</f>
        <v>300</v>
      </c>
      <c r="K165" s="37" t="s">
        <v>240</v>
      </c>
      <c r="L165" s="37">
        <v>30000000</v>
      </c>
    </row>
    <row r="166" spans="1:12" x14ac:dyDescent="0.25">
      <c r="A166" s="3">
        <v>109</v>
      </c>
      <c r="B166" s="3">
        <v>1045</v>
      </c>
      <c r="C166" s="3">
        <v>2024</v>
      </c>
      <c r="D166" s="3">
        <v>6</v>
      </c>
      <c r="E166" s="4" t="str">
        <f>+VLOOKUP($A166,'REGISTRO GENERAL'!$A$4:$AA$201,COLUMN($E$1))</f>
        <v>Martinez Sabe, Luis Alberto</v>
      </c>
      <c r="F166" s="73"/>
      <c r="G166" s="3" t="s">
        <v>232</v>
      </c>
      <c r="H166" s="3" t="s">
        <v>232</v>
      </c>
      <c r="I166" s="22">
        <f>L166/$L$4</f>
        <v>5.1765112695238589E-3</v>
      </c>
      <c r="J166" s="37">
        <f t="shared" si="25"/>
        <v>10000</v>
      </c>
      <c r="K166" s="37" t="s">
        <v>240</v>
      </c>
      <c r="L166" s="37">
        <v>1000000000</v>
      </c>
    </row>
    <row r="167" spans="1:12" x14ac:dyDescent="0.25">
      <c r="A167" s="3">
        <v>111</v>
      </c>
      <c r="B167" s="3">
        <v>1045</v>
      </c>
      <c r="C167" s="3">
        <v>2024</v>
      </c>
      <c r="D167" s="3">
        <v>6</v>
      </c>
      <c r="E167" s="4" t="str">
        <f>+VLOOKUP($A167,'REGISTRO GENERAL'!$A$4:$AA$201,COLUMN($E$1))</f>
        <v xml:space="preserve">Arias Diez Perez, Jose Luis </v>
      </c>
      <c r="F167" s="73"/>
      <c r="G167" s="3" t="s">
        <v>232</v>
      </c>
      <c r="H167" s="3" t="s">
        <v>239</v>
      </c>
      <c r="I167" s="22">
        <f t="shared" si="24"/>
        <v>2.5882556347619295E-3</v>
      </c>
      <c r="J167" s="37">
        <f t="shared" si="25"/>
        <v>5000</v>
      </c>
      <c r="K167" s="37" t="s">
        <v>240</v>
      </c>
      <c r="L167" s="37">
        <v>500000000</v>
      </c>
    </row>
    <row r="168" spans="1:12" x14ac:dyDescent="0.25">
      <c r="A168" s="3">
        <v>112</v>
      </c>
      <c r="B168" s="3">
        <v>1045</v>
      </c>
      <c r="C168" s="3">
        <v>2024</v>
      </c>
      <c r="D168" s="3">
        <v>6</v>
      </c>
      <c r="E168" s="4" t="str">
        <f>+VLOOKUP($A168,'REGISTRO GENERAL'!$A$4:$AA$201,COLUMN($E$1))</f>
        <v>Mendoza Gonzalez, Derlis Milciades</v>
      </c>
      <c r="F168" s="73"/>
      <c r="G168" s="3" t="s">
        <v>239</v>
      </c>
      <c r="H168" s="3" t="s">
        <v>239</v>
      </c>
      <c r="I168" s="22">
        <f t="shared" si="24"/>
        <v>1.2941278173809647E-3</v>
      </c>
      <c r="J168" s="37">
        <f t="shared" si="25"/>
        <v>2500</v>
      </c>
      <c r="K168" s="37" t="s">
        <v>240</v>
      </c>
      <c r="L168" s="37">
        <v>250000000</v>
      </c>
    </row>
    <row r="169" spans="1:12" x14ac:dyDescent="0.25">
      <c r="A169" s="70">
        <v>134</v>
      </c>
      <c r="B169" s="70">
        <v>1045</v>
      </c>
      <c r="C169" s="70">
        <v>2024</v>
      </c>
      <c r="D169" s="70">
        <v>6</v>
      </c>
      <c r="E169" s="4" t="s">
        <v>234</v>
      </c>
      <c r="F169" s="73"/>
      <c r="G169" s="3" t="s">
        <v>239</v>
      </c>
      <c r="H169" s="3" t="s">
        <v>239</v>
      </c>
      <c r="I169" s="22">
        <f t="shared" si="24"/>
        <v>5.1765112695238594E-4</v>
      </c>
      <c r="J169" s="37">
        <f t="shared" si="25"/>
        <v>1000</v>
      </c>
      <c r="K169" s="37" t="s">
        <v>240</v>
      </c>
      <c r="L169" s="74">
        <v>100000000</v>
      </c>
    </row>
    <row r="170" spans="1:12" x14ac:dyDescent="0.25">
      <c r="A170" s="70">
        <v>135</v>
      </c>
      <c r="B170" s="70">
        <v>1045</v>
      </c>
      <c r="C170" s="70">
        <v>2024</v>
      </c>
      <c r="D170" s="70">
        <v>6</v>
      </c>
      <c r="E170" s="4" t="s">
        <v>235</v>
      </c>
      <c r="F170" s="73"/>
      <c r="G170" s="3" t="s">
        <v>239</v>
      </c>
      <c r="H170" s="3" t="s">
        <v>239</v>
      </c>
      <c r="I170" s="22">
        <f t="shared" si="24"/>
        <v>1.0353022539047719E-3</v>
      </c>
      <c r="J170" s="37">
        <f t="shared" si="25"/>
        <v>2000</v>
      </c>
      <c r="K170" s="37" t="s">
        <v>240</v>
      </c>
      <c r="L170" s="74">
        <v>200000000</v>
      </c>
    </row>
    <row r="171" spans="1:12" x14ac:dyDescent="0.25">
      <c r="A171" s="70">
        <v>136</v>
      </c>
      <c r="B171" s="70">
        <v>1045</v>
      </c>
      <c r="C171" s="70">
        <v>2024</v>
      </c>
      <c r="D171" s="70">
        <v>6</v>
      </c>
      <c r="E171" s="4" t="s">
        <v>243</v>
      </c>
      <c r="F171" s="73"/>
      <c r="G171" s="3" t="s">
        <v>239</v>
      </c>
      <c r="H171" s="3" t="s">
        <v>239</v>
      </c>
      <c r="I171" s="22">
        <f t="shared" si="24"/>
        <v>1.5529533808571578E-3</v>
      </c>
      <c r="J171" s="37">
        <f t="shared" si="25"/>
        <v>3000</v>
      </c>
      <c r="K171" s="37" t="s">
        <v>240</v>
      </c>
      <c r="L171" s="74">
        <v>300000000</v>
      </c>
    </row>
    <row r="172" spans="1:12" x14ac:dyDescent="0.25">
      <c r="A172" s="70">
        <v>137</v>
      </c>
      <c r="B172" s="70">
        <v>1045</v>
      </c>
      <c r="C172" s="70">
        <v>2024</v>
      </c>
      <c r="D172" s="70">
        <v>6</v>
      </c>
      <c r="E172" s="4" t="s">
        <v>272</v>
      </c>
      <c r="F172" s="73"/>
      <c r="G172" s="3" t="s">
        <v>239</v>
      </c>
      <c r="H172" s="3" t="s">
        <v>239</v>
      </c>
      <c r="I172" s="22">
        <f t="shared" si="24"/>
        <v>2.5882556347619295E-3</v>
      </c>
      <c r="J172" s="37">
        <f t="shared" si="25"/>
        <v>5000</v>
      </c>
      <c r="K172" s="37" t="s">
        <v>240</v>
      </c>
      <c r="L172" s="74">
        <v>500000000</v>
      </c>
    </row>
    <row r="173" spans="1:12" x14ac:dyDescent="0.25">
      <c r="A173" s="70">
        <v>138</v>
      </c>
      <c r="B173" s="70">
        <v>1045</v>
      </c>
      <c r="C173" s="70">
        <v>2024</v>
      </c>
      <c r="D173" s="70">
        <v>6</v>
      </c>
      <c r="E173" s="4" t="s">
        <v>272</v>
      </c>
      <c r="F173" s="73"/>
      <c r="G173" s="3" t="s">
        <v>239</v>
      </c>
      <c r="H173" s="3" t="s">
        <v>239</v>
      </c>
      <c r="I173" s="22">
        <f t="shared" si="24"/>
        <v>2.5882556347619295E-3</v>
      </c>
      <c r="J173" s="37">
        <f t="shared" si="25"/>
        <v>5000</v>
      </c>
      <c r="K173" s="37" t="s">
        <v>240</v>
      </c>
      <c r="L173" s="74">
        <v>500000000</v>
      </c>
    </row>
    <row r="174" spans="1:12" x14ac:dyDescent="0.25">
      <c r="A174" s="70">
        <v>139</v>
      </c>
      <c r="B174" s="70">
        <v>1045</v>
      </c>
      <c r="C174" s="70">
        <v>2024</v>
      </c>
      <c r="D174" s="70">
        <v>6</v>
      </c>
      <c r="E174" s="4" t="s">
        <v>236</v>
      </c>
      <c r="F174" s="73"/>
      <c r="G174" s="3" t="s">
        <v>239</v>
      </c>
      <c r="H174" s="3" t="s">
        <v>239</v>
      </c>
      <c r="I174" s="22">
        <f t="shared" si="24"/>
        <v>2.5882556347619295E-3</v>
      </c>
      <c r="J174" s="37">
        <f t="shared" si="25"/>
        <v>5000</v>
      </c>
      <c r="K174" s="37" t="s">
        <v>240</v>
      </c>
      <c r="L174" s="74">
        <v>500000000</v>
      </c>
    </row>
    <row r="175" spans="1:12" x14ac:dyDescent="0.25">
      <c r="A175" s="70">
        <v>140</v>
      </c>
      <c r="B175" s="70">
        <v>1045</v>
      </c>
      <c r="C175" s="70">
        <v>2024</v>
      </c>
      <c r="D175" s="70">
        <v>6</v>
      </c>
      <c r="E175" s="4" t="s">
        <v>272</v>
      </c>
      <c r="F175" s="73"/>
      <c r="G175" s="3" t="s">
        <v>239</v>
      </c>
      <c r="H175" s="3" t="s">
        <v>239</v>
      </c>
      <c r="I175" s="22">
        <f t="shared" si="24"/>
        <v>1.2941278173809647E-3</v>
      </c>
      <c r="J175" s="37">
        <f t="shared" si="25"/>
        <v>2500</v>
      </c>
      <c r="K175" s="37" t="s">
        <v>240</v>
      </c>
      <c r="L175" s="74">
        <v>250000000</v>
      </c>
    </row>
    <row r="176" spans="1:12" x14ac:dyDescent="0.25">
      <c r="A176" s="70">
        <v>141</v>
      </c>
      <c r="B176" s="70">
        <v>1045</v>
      </c>
      <c r="C176" s="70">
        <v>2024</v>
      </c>
      <c r="D176" s="70">
        <v>6</v>
      </c>
      <c r="E176" s="4" t="s">
        <v>271</v>
      </c>
      <c r="F176" s="73"/>
      <c r="G176" s="3" t="s">
        <v>239</v>
      </c>
      <c r="H176" s="3" t="s">
        <v>239</v>
      </c>
      <c r="I176" s="22">
        <f t="shared" ref="I176" si="37">L176/$L$4</f>
        <v>7.764766904285789E-4</v>
      </c>
      <c r="J176" s="37">
        <f t="shared" ref="J176" si="38">L176/100000</f>
        <v>1500</v>
      </c>
      <c r="K176" s="37" t="s">
        <v>240</v>
      </c>
      <c r="L176" s="74">
        <v>150000000</v>
      </c>
    </row>
    <row r="177" spans="1:12" x14ac:dyDescent="0.25">
      <c r="A177" s="70">
        <v>142</v>
      </c>
      <c r="B177" s="70">
        <v>1045</v>
      </c>
      <c r="C177" s="70">
        <v>2024</v>
      </c>
      <c r="D177" s="70">
        <v>6</v>
      </c>
      <c r="E177" s="4" t="s">
        <v>237</v>
      </c>
      <c r="F177" s="73"/>
      <c r="G177" s="3" t="s">
        <v>239</v>
      </c>
      <c r="H177" s="3" t="s">
        <v>239</v>
      </c>
      <c r="I177" s="22">
        <f t="shared" ref="I177:I196" si="39">L177/$L$4</f>
        <v>2.3294300712857368E-3</v>
      </c>
      <c r="J177" s="37">
        <f t="shared" si="25"/>
        <v>4500</v>
      </c>
      <c r="K177" s="37" t="s">
        <v>240</v>
      </c>
      <c r="L177" s="74">
        <v>450000000</v>
      </c>
    </row>
    <row r="178" spans="1:12" x14ac:dyDescent="0.25">
      <c r="A178" s="70">
        <v>143</v>
      </c>
      <c r="B178" s="70">
        <v>1045</v>
      </c>
      <c r="C178" s="70">
        <v>2024</v>
      </c>
      <c r="D178" s="70">
        <v>6</v>
      </c>
      <c r="E178" s="4" t="s">
        <v>242</v>
      </c>
      <c r="F178" s="73"/>
      <c r="G178" s="3" t="s">
        <v>239</v>
      </c>
      <c r="H178" s="3" t="s">
        <v>239</v>
      </c>
      <c r="I178" s="22">
        <f t="shared" si="39"/>
        <v>1.0353022539047719E-3</v>
      </c>
      <c r="J178" s="37">
        <f t="shared" si="25"/>
        <v>2000</v>
      </c>
      <c r="K178" s="37" t="s">
        <v>240</v>
      </c>
      <c r="L178" s="74">
        <v>200000000</v>
      </c>
    </row>
    <row r="179" spans="1:12" x14ac:dyDescent="0.25">
      <c r="A179" s="70">
        <v>144</v>
      </c>
      <c r="B179" s="70">
        <v>1045</v>
      </c>
      <c r="C179" s="70">
        <v>2024</v>
      </c>
      <c r="D179" s="70">
        <v>6</v>
      </c>
      <c r="E179" s="4" t="str">
        <f>+VLOOKUP($A179,'REGISTRO GENERAL'!$A$4:$AA$201,COLUMN($E$1))</f>
        <v>Velilla Fernandez, Adrian Alberto</v>
      </c>
      <c r="F179" s="73"/>
      <c r="G179" s="3" t="s">
        <v>239</v>
      </c>
      <c r="H179" s="3" t="s">
        <v>239</v>
      </c>
      <c r="I179" s="22">
        <f t="shared" si="39"/>
        <v>5.1765112695238594E-4</v>
      </c>
      <c r="J179" s="37">
        <f t="shared" ref="J179:J196" si="40">L179/100000</f>
        <v>1000</v>
      </c>
      <c r="K179" s="37" t="s">
        <v>240</v>
      </c>
      <c r="L179" s="37">
        <v>100000000</v>
      </c>
    </row>
    <row r="180" spans="1:12" x14ac:dyDescent="0.25">
      <c r="A180" s="70">
        <v>145</v>
      </c>
      <c r="B180" s="70">
        <v>1045</v>
      </c>
      <c r="C180" s="70">
        <v>2024</v>
      </c>
      <c r="D180" s="70">
        <v>6</v>
      </c>
      <c r="E180" s="4" t="str">
        <f>+VLOOKUP($A180,'REGISTRO GENERAL'!$A$4:$AA$201,COLUMN($E$1))</f>
        <v xml:space="preserve">Sykora Frich, Julio Ruben </v>
      </c>
      <c r="F180" s="73"/>
      <c r="G180" s="3" t="s">
        <v>239</v>
      </c>
      <c r="H180" s="3" t="s">
        <v>239</v>
      </c>
      <c r="I180" s="22">
        <f t="shared" si="39"/>
        <v>1.3510694413457272E-3</v>
      </c>
      <c r="J180" s="37">
        <f t="shared" si="40"/>
        <v>2610</v>
      </c>
      <c r="K180" s="37" t="s">
        <v>240</v>
      </c>
      <c r="L180" s="37">
        <v>261000000</v>
      </c>
    </row>
    <row r="181" spans="1:12" x14ac:dyDescent="0.25">
      <c r="A181" s="70">
        <v>146</v>
      </c>
      <c r="B181" s="70">
        <v>1045</v>
      </c>
      <c r="C181" s="70">
        <v>2024</v>
      </c>
      <c r="D181" s="70">
        <v>6</v>
      </c>
      <c r="E181" s="4" t="str">
        <f>+VLOOKUP($A181,'REGISTRO GENERAL'!$A$4:$AA$201,COLUMN($E$1))</f>
        <v xml:space="preserve">Campos Cervera, Fabricio Serrati </v>
      </c>
      <c r="G181" s="3" t="s">
        <v>239</v>
      </c>
      <c r="H181" s="3" t="s">
        <v>239</v>
      </c>
      <c r="I181" s="22">
        <f t="shared" si="39"/>
        <v>7.7647669042857888E-3</v>
      </c>
      <c r="J181" s="37">
        <f t="shared" si="40"/>
        <v>15000</v>
      </c>
      <c r="K181" s="37" t="s">
        <v>240</v>
      </c>
      <c r="L181" s="37">
        <v>1500000000</v>
      </c>
    </row>
    <row r="182" spans="1:12" x14ac:dyDescent="0.25">
      <c r="A182" s="3">
        <v>147</v>
      </c>
      <c r="B182" s="70">
        <v>1045</v>
      </c>
      <c r="C182" s="70">
        <v>2024</v>
      </c>
      <c r="D182" s="70">
        <v>6</v>
      </c>
      <c r="E182" s="4" t="str">
        <f>+VLOOKUP($A182,'REGISTRO GENERAL'!$A$4:$AA$201,COLUMN($E$1))</f>
        <v xml:space="preserve">Alvarez Lopez, Angel Ramon </v>
      </c>
      <c r="G182" s="3" t="s">
        <v>239</v>
      </c>
      <c r="H182" s="3" t="s">
        <v>239</v>
      </c>
      <c r="I182" s="22">
        <f t="shared" si="39"/>
        <v>1.0353022539047719E-3</v>
      </c>
      <c r="J182" s="37">
        <f t="shared" si="40"/>
        <v>2000</v>
      </c>
      <c r="K182" s="37" t="s">
        <v>240</v>
      </c>
      <c r="L182" s="37">
        <v>200000000</v>
      </c>
    </row>
    <row r="183" spans="1:12" x14ac:dyDescent="0.25">
      <c r="A183" s="3">
        <v>148</v>
      </c>
      <c r="B183" s="70">
        <v>1045</v>
      </c>
      <c r="C183" s="70">
        <v>2024</v>
      </c>
      <c r="D183" s="70">
        <v>6</v>
      </c>
      <c r="E183" s="4" t="str">
        <f>+VLOOKUP($A183,'REGISTRO GENERAL'!$A$4:$AA$201,COLUMN($E$1))</f>
        <v>Zarza de Paredes, Adelaida Zunilda</v>
      </c>
      <c r="G183" s="3" t="s">
        <v>239</v>
      </c>
      <c r="H183" s="3" t="s">
        <v>239</v>
      </c>
      <c r="I183" s="22">
        <f t="shared" si="39"/>
        <v>1.0353022539047719E-3</v>
      </c>
      <c r="J183" s="37">
        <f t="shared" si="40"/>
        <v>2000</v>
      </c>
      <c r="K183" s="37" t="s">
        <v>240</v>
      </c>
      <c r="L183" s="37">
        <v>200000000</v>
      </c>
    </row>
    <row r="184" spans="1:12" x14ac:dyDescent="0.25">
      <c r="A184" s="3">
        <v>149</v>
      </c>
      <c r="B184" s="70">
        <v>1045</v>
      </c>
      <c r="C184" s="70">
        <v>2024</v>
      </c>
      <c r="D184" s="70">
        <v>6</v>
      </c>
      <c r="E184" s="4" t="str">
        <f>+VLOOKUP($A184,'REGISTRO GENERAL'!$A$4:$AA$201,COLUMN($E$1))</f>
        <v xml:space="preserve">Paredes, Juan Ubaldo </v>
      </c>
      <c r="G184" s="3" t="s">
        <v>239</v>
      </c>
      <c r="H184" s="3" t="s">
        <v>239</v>
      </c>
      <c r="I184" s="22">
        <f t="shared" si="39"/>
        <v>1.0353022539047719E-3</v>
      </c>
      <c r="J184" s="37">
        <f t="shared" si="40"/>
        <v>2000</v>
      </c>
      <c r="K184" s="37" t="s">
        <v>240</v>
      </c>
      <c r="L184" s="37">
        <v>200000000</v>
      </c>
    </row>
    <row r="185" spans="1:12" x14ac:dyDescent="0.25">
      <c r="A185" s="3">
        <v>150</v>
      </c>
      <c r="B185" s="70">
        <v>1045</v>
      </c>
      <c r="C185" s="70">
        <v>2024</v>
      </c>
      <c r="D185" s="70">
        <v>6</v>
      </c>
      <c r="E185" s="4" t="str">
        <f>+VLOOKUP($A185,'REGISTRO GENERAL'!$A$4:$AA$201,COLUMN($E$1))</f>
        <v xml:space="preserve">Fernández Rabade, Hugo Raúl </v>
      </c>
      <c r="G185" s="3" t="s">
        <v>239</v>
      </c>
      <c r="H185" s="3" t="s">
        <v>239</v>
      </c>
      <c r="I185" s="22">
        <f t="shared" si="39"/>
        <v>3.1768249661067926E-3</v>
      </c>
      <c r="J185" s="37">
        <f t="shared" si="40"/>
        <v>6137</v>
      </c>
      <c r="K185" s="37" t="s">
        <v>240</v>
      </c>
      <c r="L185" s="37">
        <v>613700000</v>
      </c>
    </row>
    <row r="186" spans="1:12" x14ac:dyDescent="0.25">
      <c r="A186" s="3">
        <v>151</v>
      </c>
      <c r="B186" s="70">
        <v>1045</v>
      </c>
      <c r="C186" s="70">
        <v>2024</v>
      </c>
      <c r="D186" s="70">
        <v>6</v>
      </c>
      <c r="E186" s="4" t="str">
        <f>+VLOOKUP($A186,'REGISTRO GENERAL'!$A$4:$AA$201,COLUMN($E$1))</f>
        <v xml:space="preserve">Sykora Frich, Julio Rubén </v>
      </c>
      <c r="G186" s="3" t="s">
        <v>239</v>
      </c>
      <c r="H186" s="3" t="s">
        <v>239</v>
      </c>
      <c r="I186" s="22">
        <f t="shared" ref="I186:I187" si="41">L186/$L$4</f>
        <v>1.3821285089628704E-3</v>
      </c>
      <c r="J186" s="37">
        <f t="shared" ref="J186:J187" si="42">L186/100000</f>
        <v>2670</v>
      </c>
      <c r="K186" s="37" t="s">
        <v>240</v>
      </c>
      <c r="L186" s="37">
        <v>267000000</v>
      </c>
    </row>
    <row r="187" spans="1:12" x14ac:dyDescent="0.25">
      <c r="A187" s="3">
        <v>152</v>
      </c>
      <c r="B187" s="70">
        <v>1045</v>
      </c>
      <c r="C187" s="70">
        <v>2024</v>
      </c>
      <c r="D187" s="70">
        <v>6</v>
      </c>
      <c r="E187" s="4" t="str">
        <f>+VLOOKUP($A187,'REGISTRO GENERAL'!$A$4:$AA$201,COLUMN($E$1))</f>
        <v xml:space="preserve">Sykora Frich, Julio Rubén </v>
      </c>
      <c r="G187" s="3" t="s">
        <v>239</v>
      </c>
      <c r="H187" s="3" t="s">
        <v>239</v>
      </c>
      <c r="I187" s="22">
        <f t="shared" si="41"/>
        <v>1.0353022539047719E-3</v>
      </c>
      <c r="J187" s="37">
        <f t="shared" si="42"/>
        <v>2000</v>
      </c>
      <c r="K187" s="37"/>
      <c r="L187" s="37">
        <v>200000000</v>
      </c>
    </row>
    <row r="188" spans="1:12" x14ac:dyDescent="0.25">
      <c r="A188" s="3">
        <v>153</v>
      </c>
      <c r="B188" s="70">
        <v>1045</v>
      </c>
      <c r="C188" s="70">
        <v>2024</v>
      </c>
      <c r="D188" s="70">
        <v>6</v>
      </c>
      <c r="E188" s="4" t="str">
        <f>+VLOOKUP($A188,'REGISTRO GENERAL'!$A$4:$AA$201,COLUMN($E$1))</f>
        <v>Fernández Ruíz, Nancy Elizabeth</v>
      </c>
      <c r="G188" s="3" t="s">
        <v>239</v>
      </c>
      <c r="H188" s="3" t="s">
        <v>239</v>
      </c>
      <c r="I188" s="22">
        <f t="shared" ref="I188" si="43">L188/$L$4</f>
        <v>1.0353022539047719E-3</v>
      </c>
      <c r="J188" s="37">
        <f t="shared" ref="J188" si="44">L188/100000</f>
        <v>2000</v>
      </c>
      <c r="K188" s="37"/>
      <c r="L188" s="37">
        <v>200000000</v>
      </c>
    </row>
    <row r="189" spans="1:12" x14ac:dyDescent="0.25">
      <c r="A189" s="3">
        <v>154</v>
      </c>
      <c r="B189" s="70">
        <v>1045</v>
      </c>
      <c r="C189" s="70">
        <v>2024</v>
      </c>
      <c r="D189" s="70">
        <v>6</v>
      </c>
      <c r="E189" s="4" t="str">
        <f>+VLOOKUP($A189,'REGISTRO GENERAL'!$A$4:$AA$201,COLUMN($E$1))</f>
        <v>Zafiro Group S.A</v>
      </c>
      <c r="G189" s="3" t="s">
        <v>239</v>
      </c>
      <c r="H189" s="3" t="s">
        <v>239</v>
      </c>
      <c r="I189" s="22">
        <f t="shared" ref="I189" si="45">L189/$L$4</f>
        <v>1.1491855018342968E-3</v>
      </c>
      <c r="J189" s="37">
        <f t="shared" ref="J189" si="46">L189/100000</f>
        <v>2220</v>
      </c>
      <c r="K189" s="37"/>
      <c r="L189" s="37">
        <v>222000000</v>
      </c>
    </row>
    <row r="190" spans="1:12" x14ac:dyDescent="0.25">
      <c r="A190" s="3">
        <v>155</v>
      </c>
      <c r="B190" s="70">
        <v>1045</v>
      </c>
      <c r="C190" s="70">
        <v>2024</v>
      </c>
      <c r="D190" s="70">
        <v>6</v>
      </c>
      <c r="E190" s="4" t="str">
        <f>+VLOOKUP($A190,'REGISTRO GENERAL'!$A$4:$AA$201,COLUMN($E$1))</f>
        <v>Lugo Rolón, Eduarda Susana</v>
      </c>
      <c r="G190" s="3" t="s">
        <v>239</v>
      </c>
      <c r="H190" s="3" t="s">
        <v>239</v>
      </c>
      <c r="I190" s="22">
        <f t="shared" ref="I190" si="47">L190/$L$4</f>
        <v>2.5882556347619297E-4</v>
      </c>
      <c r="J190" s="37">
        <f t="shared" ref="J190" si="48">L190/100000</f>
        <v>500</v>
      </c>
      <c r="K190" s="37"/>
      <c r="L190" s="37">
        <v>50000000</v>
      </c>
    </row>
    <row r="191" spans="1:12" x14ac:dyDescent="0.25">
      <c r="A191" s="3">
        <v>171</v>
      </c>
      <c r="B191" s="70">
        <v>1045</v>
      </c>
      <c r="C191" s="70">
        <v>2024</v>
      </c>
      <c r="D191" s="70">
        <v>6</v>
      </c>
      <c r="E191" s="4" t="str">
        <f>+VLOOKUP($A191,'REGISTRO GENERAL'!$A$4:$AA$201,COLUMN($E$1))</f>
        <v>Investor Casa de Bolsa S.A.</v>
      </c>
      <c r="G191" s="3" t="s">
        <v>241</v>
      </c>
      <c r="H191" s="3" t="s">
        <v>241</v>
      </c>
      <c r="I191" s="22">
        <f t="shared" ref="I191:I195" si="49">L191/$L$4</f>
        <v>1.2941278173809648E-2</v>
      </c>
      <c r="J191" s="37">
        <f t="shared" ref="J191:J195" si="50">L191/100000</f>
        <v>25000</v>
      </c>
      <c r="K191" s="37" t="s">
        <v>240</v>
      </c>
      <c r="L191" s="37">
        <v>2500000000</v>
      </c>
    </row>
    <row r="192" spans="1:12" x14ac:dyDescent="0.25">
      <c r="A192" s="3">
        <v>172</v>
      </c>
      <c r="B192" s="70">
        <v>1045</v>
      </c>
      <c r="C192" s="70">
        <v>2024</v>
      </c>
      <c r="D192" s="70">
        <v>6</v>
      </c>
      <c r="E192" s="4" t="str">
        <f>+VLOOKUP($A192,'REGISTRO GENERAL'!$A$4:$AA$201,COLUMN($E$1))</f>
        <v xml:space="preserve">Fondo Mutuo Investor Rendimiento Total Gs. </v>
      </c>
      <c r="G192" s="3" t="s">
        <v>241</v>
      </c>
      <c r="H192" s="3" t="s">
        <v>241</v>
      </c>
      <c r="I192" s="22">
        <f t="shared" si="49"/>
        <v>5.1765112695238589E-3</v>
      </c>
      <c r="J192" s="37">
        <f t="shared" si="50"/>
        <v>10000</v>
      </c>
      <c r="K192" s="37" t="s">
        <v>240</v>
      </c>
      <c r="L192" s="37">
        <v>1000000000</v>
      </c>
    </row>
    <row r="193" spans="1:12" x14ac:dyDescent="0.25">
      <c r="A193" s="3">
        <v>173</v>
      </c>
      <c r="B193" s="70">
        <v>1045</v>
      </c>
      <c r="C193" s="70">
        <v>2024</v>
      </c>
      <c r="D193" s="70">
        <v>6</v>
      </c>
      <c r="E193" s="4" t="str">
        <f>+VLOOKUP($A193,'REGISTRO GENERAL'!$A$4:$AA$201,COLUMN($E$1))</f>
        <v>Ríos Villagra, Sonia Catalina</v>
      </c>
      <c r="G193" s="3" t="s">
        <v>241</v>
      </c>
      <c r="H193" s="3" t="s">
        <v>241</v>
      </c>
      <c r="I193" s="22">
        <f t="shared" si="49"/>
        <v>2.5882556347619295E-3</v>
      </c>
      <c r="J193" s="37">
        <f t="shared" si="50"/>
        <v>5000</v>
      </c>
      <c r="K193" s="37" t="s">
        <v>240</v>
      </c>
      <c r="L193" s="37">
        <v>500000000</v>
      </c>
    </row>
    <row r="194" spans="1:12" x14ac:dyDescent="0.25">
      <c r="A194" s="3">
        <v>174</v>
      </c>
      <c r="B194" s="70">
        <v>1045</v>
      </c>
      <c r="C194" s="70">
        <v>2024</v>
      </c>
      <c r="D194" s="70">
        <v>6</v>
      </c>
      <c r="E194" s="4" t="str">
        <f>+VLOOKUP($A194,'REGISTRO GENERAL'!$A$4:$AA$201,COLUMN($E$1))</f>
        <v>Chamorro Bogado, Pedro Tomas</v>
      </c>
      <c r="G194" s="3" t="s">
        <v>241</v>
      </c>
      <c r="H194" s="3" t="s">
        <v>241</v>
      </c>
      <c r="I194" s="22">
        <f t="shared" si="49"/>
        <v>1.5529533808571578E-3</v>
      </c>
      <c r="J194" s="37">
        <f t="shared" si="50"/>
        <v>3000</v>
      </c>
      <c r="K194" s="37" t="s">
        <v>240</v>
      </c>
      <c r="L194" s="37">
        <v>300000000</v>
      </c>
    </row>
    <row r="195" spans="1:12" x14ac:dyDescent="0.25">
      <c r="A195" s="3">
        <v>175</v>
      </c>
      <c r="B195" s="70">
        <v>1045</v>
      </c>
      <c r="C195" s="70">
        <v>2024</v>
      </c>
      <c r="D195" s="70">
        <v>6</v>
      </c>
      <c r="E195" s="4" t="str">
        <f>+VLOOKUP($A195,'REGISTRO GENERAL'!$A$4:$AA$201,COLUMN($E$1))</f>
        <v>Caja de Jubilaciones y Pensiones del personal de la ANDE</v>
      </c>
      <c r="G195" s="3" t="s">
        <v>241</v>
      </c>
      <c r="H195" s="3" t="s">
        <v>241</v>
      </c>
      <c r="I195" s="22">
        <f t="shared" si="49"/>
        <v>2.5882556347619295E-2</v>
      </c>
      <c r="J195" s="37">
        <f t="shared" si="50"/>
        <v>50000</v>
      </c>
      <c r="K195" s="37" t="s">
        <v>240</v>
      </c>
      <c r="L195" s="37">
        <v>5000000000</v>
      </c>
    </row>
    <row r="196" spans="1:12" x14ac:dyDescent="0.25">
      <c r="A196" s="3">
        <v>176</v>
      </c>
      <c r="B196" s="70">
        <v>1045</v>
      </c>
      <c r="C196" s="70">
        <v>2024</v>
      </c>
      <c r="D196" s="70">
        <v>6</v>
      </c>
      <c r="E196" s="4" t="str">
        <f>+VLOOKUP($A196,'REGISTRO GENERAL'!$A$4:$AA$201,COLUMN($E$1))</f>
        <v xml:space="preserve">Fondo Mutuo Investor Rendimiento Total Gs. </v>
      </c>
      <c r="G196" s="3" t="s">
        <v>241</v>
      </c>
      <c r="H196" s="3" t="s">
        <v>241</v>
      </c>
      <c r="I196" s="22">
        <f t="shared" si="39"/>
        <v>1.4349289239120138E-3</v>
      </c>
      <c r="J196" s="37">
        <f t="shared" si="40"/>
        <v>2772</v>
      </c>
      <c r="K196" s="37" t="s">
        <v>240</v>
      </c>
      <c r="L196" s="37">
        <v>277200000</v>
      </c>
    </row>
    <row r="197" spans="1:12" x14ac:dyDescent="0.25">
      <c r="A197" s="123" t="s">
        <v>42</v>
      </c>
      <c r="B197" s="124"/>
      <c r="C197" s="124"/>
      <c r="D197" s="125"/>
      <c r="E197" s="23"/>
      <c r="F197" s="30"/>
      <c r="G197" s="23" t="s">
        <v>240</v>
      </c>
      <c r="H197" s="23" t="s">
        <v>239</v>
      </c>
      <c r="I197" s="28">
        <f>+SUM(I131:I196)</f>
        <v>0.24565185994638181</v>
      </c>
      <c r="J197" s="29">
        <f>SUM(J131:J196)</f>
        <v>474551</v>
      </c>
      <c r="K197" s="29">
        <f>+SUM(K131:K164)</f>
        <v>1411585</v>
      </c>
      <c r="L197" s="29">
        <f>+SUM(L131:L196)</f>
        <v>47455100000</v>
      </c>
    </row>
    <row r="198" spans="1:12" x14ac:dyDescent="0.25">
      <c r="A198" s="69"/>
      <c r="B198" s="30"/>
      <c r="C198" s="30"/>
      <c r="D198" s="30"/>
      <c r="E198" s="30"/>
      <c r="F198" s="30"/>
      <c r="G198" s="23" t="s">
        <v>240</v>
      </c>
      <c r="H198" s="23" t="s">
        <v>239</v>
      </c>
      <c r="I198" s="65">
        <f>I11+I31+I39+I47+I50+I55+I62+I71+I90+I100+I114+I118+I123+I127+I197+I130+I58</f>
        <v>1.0000000000000002</v>
      </c>
      <c r="J198" s="31">
        <f>J11+J31+J39+J47+J50+J55+J62+J71+J90+J100+J114+J118+J123+J127+J197+J130+J58</f>
        <v>1931803</v>
      </c>
      <c r="K198" s="31">
        <f>K11+K31+K39+K47+K50+K55+K62+K71+K90+K100+K114+K118+K123+K127+K197+K130+K58</f>
        <v>8627740</v>
      </c>
      <c r="L198" s="31">
        <f>L11+L31+L39+L47+L50+L55+L62+L71+L90+L100+L114+L118+L123+L127+L197+L130+L58</f>
        <v>193180300000</v>
      </c>
    </row>
    <row r="201" spans="1:12" x14ac:dyDescent="0.25">
      <c r="L201" s="63"/>
    </row>
  </sheetData>
  <mergeCells count="27">
    <mergeCell ref="A50:D50"/>
    <mergeCell ref="A114:D114"/>
    <mergeCell ref="A197:D197"/>
    <mergeCell ref="A55:D55"/>
    <mergeCell ref="A62:D62"/>
    <mergeCell ref="A71:D71"/>
    <mergeCell ref="A90:D90"/>
    <mergeCell ref="A100:D100"/>
    <mergeCell ref="A123:D123"/>
    <mergeCell ref="A118:D118"/>
    <mergeCell ref="A127:D127"/>
    <mergeCell ref="A130:D130"/>
    <mergeCell ref="A58:D58"/>
    <mergeCell ref="A47:D47"/>
    <mergeCell ref="A2:K2"/>
    <mergeCell ref="A3:A4"/>
    <mergeCell ref="B3:B4"/>
    <mergeCell ref="C3:C4"/>
    <mergeCell ref="D3:D4"/>
    <mergeCell ref="E3:E4"/>
    <mergeCell ref="I3:I4"/>
    <mergeCell ref="J3:J4"/>
    <mergeCell ref="K3:K4"/>
    <mergeCell ref="A11:D11"/>
    <mergeCell ref="A31:D31"/>
    <mergeCell ref="A39:D39"/>
    <mergeCell ref="G3:H3"/>
  </mergeCells>
  <pageMargins left="0.94488188976377963" right="0.70866141732283472" top="0.74803149606299213" bottom="0.74803149606299213" header="0.31496062992125984" footer="0.31496062992125984"/>
  <pageSetup paperSize="5" scale="70" orientation="landscape" r:id="rId1"/>
  <headerFooter>
    <oddFooter>&amp;CObservacion: "Manifestamos en caracter de declaración jurada que hemos verificado el origen de los fondos de los aportes realizados por los accionistas"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Q9"/>
  <sheetViews>
    <sheetView workbookViewId="0">
      <selection activeCell="B4" sqref="B3:P12"/>
    </sheetView>
  </sheetViews>
  <sheetFormatPr baseColWidth="10" defaultRowHeight="15" x14ac:dyDescent="0.25"/>
  <cols>
    <col min="2" max="2" width="32" customWidth="1"/>
    <col min="3" max="9" width="0" hidden="1" customWidth="1"/>
    <col min="10" max="10" width="0.42578125" hidden="1" customWidth="1"/>
    <col min="11" max="11" width="17.42578125" customWidth="1"/>
    <col min="12" max="12" width="17.85546875" customWidth="1"/>
    <col min="13" max="13" width="19.7109375" customWidth="1"/>
    <col min="14" max="15" width="12.7109375" hidden="1" customWidth="1"/>
    <col min="16" max="16" width="12.5703125" customWidth="1"/>
    <col min="17" max="17" width="0.42578125" hidden="1" customWidth="1"/>
    <col min="18" max="20" width="12.7109375" customWidth="1"/>
  </cols>
  <sheetData>
    <row r="4" spans="1:17" x14ac:dyDescent="0.25">
      <c r="B4" s="132"/>
      <c r="K4" s="132"/>
      <c r="L4" s="132"/>
      <c r="M4" s="132"/>
      <c r="P4" s="132"/>
    </row>
    <row r="5" spans="1:17" ht="16.5" x14ac:dyDescent="0.3">
      <c r="B5" s="132"/>
      <c r="C5" s="21"/>
      <c r="D5" s="21"/>
      <c r="E5" s="21"/>
      <c r="F5" s="21"/>
      <c r="G5" s="21"/>
      <c r="H5" s="21"/>
      <c r="I5" s="21"/>
      <c r="J5" s="21"/>
      <c r="K5" s="132"/>
      <c r="L5" s="132"/>
      <c r="M5" s="132"/>
      <c r="N5" s="21"/>
      <c r="O5" s="21"/>
      <c r="P5" s="132"/>
    </row>
    <row r="6" spans="1:17" ht="16.5" x14ac:dyDescent="0.3">
      <c r="A6" s="10">
        <v>46</v>
      </c>
      <c r="B6" s="12"/>
      <c r="C6" s="13"/>
      <c r="D6" s="13"/>
      <c r="E6" s="13"/>
      <c r="F6" s="13"/>
      <c r="G6" s="14"/>
      <c r="H6" s="15"/>
      <c r="I6" s="16"/>
      <c r="J6" s="12"/>
      <c r="K6" s="17"/>
      <c r="L6" s="18"/>
      <c r="M6" s="18"/>
      <c r="N6" s="19"/>
      <c r="O6" s="19"/>
      <c r="P6" s="20"/>
      <c r="Q6" s="11">
        <f>P6+O6+N6</f>
        <v>0</v>
      </c>
    </row>
    <row r="7" spans="1:17" ht="16.5" x14ac:dyDescent="0.3">
      <c r="A7" s="10">
        <v>72</v>
      </c>
      <c r="B7" s="12"/>
      <c r="C7" s="13"/>
      <c r="D7" s="13"/>
      <c r="E7" s="13"/>
      <c r="F7" s="13"/>
      <c r="G7" s="14"/>
      <c r="H7" s="15"/>
      <c r="I7" s="16"/>
      <c r="J7" s="12"/>
      <c r="K7" s="17"/>
      <c r="L7" s="18"/>
      <c r="M7" s="18"/>
      <c r="N7" s="19"/>
      <c r="O7" s="19"/>
      <c r="P7" s="20"/>
      <c r="Q7" s="11">
        <f>P7+O7+N7</f>
        <v>0</v>
      </c>
    </row>
    <row r="8" spans="1:17" ht="16.5" x14ac:dyDescent="0.3">
      <c r="A8" s="10">
        <v>73</v>
      </c>
      <c r="B8" s="12"/>
      <c r="C8" s="13"/>
      <c r="D8" s="13"/>
      <c r="E8" s="13"/>
      <c r="F8" s="13"/>
      <c r="G8" s="14"/>
      <c r="H8" s="15"/>
      <c r="I8" s="16"/>
      <c r="J8" s="12"/>
      <c r="K8" s="17"/>
      <c r="L8" s="18"/>
      <c r="M8" s="18"/>
      <c r="N8" s="19"/>
      <c r="O8" s="19"/>
      <c r="P8" s="20"/>
      <c r="Q8" s="11">
        <f>P8+O8+N8</f>
        <v>0</v>
      </c>
    </row>
    <row r="9" spans="1:17" ht="16.5" x14ac:dyDescent="0.3">
      <c r="A9" s="10">
        <v>32</v>
      </c>
      <c r="B9" s="12"/>
      <c r="C9" s="13"/>
      <c r="D9" s="13"/>
      <c r="E9" s="13"/>
      <c r="F9" s="13"/>
      <c r="G9" s="14"/>
      <c r="H9" s="15"/>
      <c r="I9" s="16"/>
      <c r="J9" s="12"/>
      <c r="K9" s="17"/>
      <c r="L9" s="18"/>
      <c r="M9" s="18"/>
      <c r="N9" s="19"/>
      <c r="O9" s="19"/>
      <c r="P9" s="20"/>
      <c r="Q9" s="11">
        <f>P9+O9+N9</f>
        <v>0</v>
      </c>
    </row>
  </sheetData>
  <mergeCells count="5">
    <mergeCell ref="B4:B5"/>
    <mergeCell ref="K4:K5"/>
    <mergeCell ref="L4:L5"/>
    <mergeCell ref="M4:M5"/>
    <mergeCell ref="P4:P5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REGISTRO GENERAL</vt:lpstr>
      <vt:lpstr>REGISTRO GRUPO FAMILIAR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 Lorena Martinez Sanchez</dc:creator>
  <cp:lastModifiedBy>Giannina Gill</cp:lastModifiedBy>
  <cp:lastPrinted>2024-06-24T15:12:52Z</cp:lastPrinted>
  <dcterms:created xsi:type="dcterms:W3CDTF">2015-07-13T15:24:38Z</dcterms:created>
  <dcterms:modified xsi:type="dcterms:W3CDTF">2025-08-14T12:57:01Z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